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/>
  <bookViews>
    <workbookView xWindow="0" yWindow="0" windowWidth="28800" windowHeight="9930" tabRatio="922" firstSheet="2" activeTab="8"/>
  </bookViews>
  <sheets>
    <sheet name="Инструкция" sheetId="32" r:id="rId1"/>
    <sheet name="Темы" sheetId="39" r:id="rId2"/>
    <sheet name="Соотношение категорий" sheetId="28" r:id="rId3"/>
    <sheet name="Титул" sheetId="35" r:id="rId4"/>
    <sheet name="Мат.запасы" sheetId="29" r:id="rId5"/>
    <sheet name="Командировочные" sheetId="30" r:id="rId6"/>
    <sheet name="Прочие расходы" sheetId="31" r:id="rId7"/>
    <sheet name="Состав ВТК" sheetId="24" r:id="rId8"/>
    <sheet name="Работы" sheetId="2" r:id="rId9"/>
    <sheet name="Трудозатраты членов ВТК" sheetId="3" r:id="rId10"/>
    <sheet name="План-задание" sheetId="20" r:id="rId11"/>
    <sheet name="Распределение" sheetId="36" r:id="rId12"/>
    <sheet name="Выплаты" sheetId="41" r:id="rId13"/>
    <sheet name="счеталка премий" sheetId="51" state="hidden" r:id="rId14"/>
    <sheet name="Премирование" sheetId="48" r:id="rId15"/>
    <sheet name="Премирование ПЕЧАТЬ" sheetId="49" r:id="rId16"/>
    <sheet name="Смета Реком." sheetId="47" r:id="rId17"/>
    <sheet name="Смета Рук.ВТК" sheetId="1" r:id="rId18"/>
    <sheet name="Состав ВТК ПЕЧАТЬ" sheetId="44" r:id="rId19"/>
    <sheet name="Работы ПЕЧАТЬ" sheetId="45" r:id="rId20"/>
    <sheet name="Штатка ПЕЧАТЬ" sheetId="46" r:id="rId21"/>
    <sheet name="не забыть!" sheetId="50" state="hidden" r:id="rId22"/>
    <sheet name="Расчет участников НИР" sheetId="25" state="hidden" r:id="rId23"/>
    <sheet name="Расценка" sheetId="27" state="hidden" r:id="rId24"/>
    <sheet name="справочник" sheetId="11" state="hidden" r:id="rId25"/>
    <sheet name="должности" sheetId="42" state="hidden" r:id="rId26"/>
  </sheets>
  <externalReferences>
    <externalReference r:id="rId27"/>
    <externalReference r:id="rId28"/>
    <externalReference r:id="rId29"/>
    <externalReference r:id="rId30"/>
  </externalReferences>
  <definedNames>
    <definedName name="_ftn1" localSheetId="8">Работы!$A$377</definedName>
    <definedName name="_ftn1" localSheetId="19">'Работы ПЕЧАТЬ'!$A$179</definedName>
    <definedName name="_ftn2" localSheetId="8">Работы!$A$378</definedName>
    <definedName name="_ftn2" localSheetId="19">'Работы ПЕЧАТЬ'!$A$180</definedName>
    <definedName name="_ftn3" localSheetId="8">Работы!$A$379</definedName>
    <definedName name="_ftn3" localSheetId="19">'Работы ПЕЧАТЬ'!$B$181</definedName>
    <definedName name="_ftnref1" localSheetId="8">Работы!$B$8</definedName>
    <definedName name="_ftnref1" localSheetId="19">'Работы ПЕЧАТЬ'!$B$9</definedName>
    <definedName name="_ftnref2" localSheetId="8">Работы!#REF!</definedName>
    <definedName name="_ftnref2" localSheetId="19">'Работы ПЕЧАТЬ'!#REF!</definedName>
    <definedName name="_ftnref3" localSheetId="8">Работы!#REF!</definedName>
    <definedName name="_ftnref3" localSheetId="19">'Работы ПЕЧАТЬ'!#REF!</definedName>
    <definedName name="_Hlk114643707" localSheetId="6">'Прочие расходы'!$J$1</definedName>
    <definedName name="_xlnm._FilterDatabase" localSheetId="4" hidden="1">Мат.запасы!$A$8:$J$14</definedName>
    <definedName name="_xlnm._FilterDatabase" localSheetId="10" hidden="1">'План-задание'!$A$16:$Q$152</definedName>
    <definedName name="_xlnm._FilterDatabase" localSheetId="8" hidden="1">Работы!$A$64:$G$373</definedName>
    <definedName name="_xlnm._FilterDatabase" localSheetId="23" hidden="1">Расценка!$P$1:$P$412</definedName>
    <definedName name="_xlnm._FilterDatabase" localSheetId="7" hidden="1">'Состав ВТК'!$A$8:$K$8</definedName>
    <definedName name="_xlnm._FilterDatabase" localSheetId="18" hidden="1">'Состав ВТК ПЕЧАТЬ'!$A$10:$E$10</definedName>
    <definedName name="_xlnm._FilterDatabase" localSheetId="9" hidden="1">'Трудозатраты членов ВТК'!$A$463:$BG$712</definedName>
    <definedName name="solver_adj" localSheetId="12" hidden="1">Выплаты!$Y$14:$Y$26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opt" localSheetId="12" hidden="1">Выплаты!$Y$12</definedName>
    <definedName name="solver_pre" localSheetId="12" hidden="1">0.000001</definedName>
    <definedName name="solver_rbv" localSheetId="12" hidden="1">1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1</definedName>
    <definedName name="solver_val" localSheetId="12" hidden="1">0</definedName>
    <definedName name="solver_ver" localSheetId="12" hidden="1">3</definedName>
    <definedName name="Аспирант" localSheetId="21">[1]!Таблица3[Аспирант]</definedName>
    <definedName name="Аспирант" localSheetId="14">[2]!Таблица5[Аспирант]</definedName>
    <definedName name="Аспирант" localSheetId="19">должности!#REF!</definedName>
    <definedName name="Аспирант" localSheetId="16">должности!#REF!</definedName>
    <definedName name="Аспирант" localSheetId="18">должности!#REF!</definedName>
    <definedName name="Аспирант">Таблица3[Аспирант]</definedName>
    <definedName name="Ассистент" localSheetId="21">[1]!Таблица3[Ассистент]</definedName>
    <definedName name="Ассистент" localSheetId="14">[2]!Таблица5[Ассистент]</definedName>
    <definedName name="Ассистент" localSheetId="19">должности!#REF!</definedName>
    <definedName name="Ассистент" localSheetId="16">должности!#REF!</definedName>
    <definedName name="Ассистент" localSheetId="18">должности!#REF!</definedName>
    <definedName name="Ассистент">Таблица3[Ассистент]</definedName>
    <definedName name="Вакансия">справочник!$J$2:$J$11</definedName>
    <definedName name="Ведущий_консультант" localSheetId="21">[1]!Таблица3[Ведущий_консультант]</definedName>
    <definedName name="Ведущий_консультант" localSheetId="14">[2]!Таблица5[Ведущий_консультант]</definedName>
    <definedName name="Ведущий_консультант" localSheetId="19">должности!#REF!</definedName>
    <definedName name="Ведущий_консультант" localSheetId="16">должности!#REF!</definedName>
    <definedName name="Ведущий_консультант" localSheetId="18">должности!#REF!</definedName>
    <definedName name="Ведущий_консультант">Таблица3[Ведущий_консультант]</definedName>
    <definedName name="Ведущий_научный_сотрудник" localSheetId="21">[1]!Таблица3[Ведущий_научный_сотрудник]</definedName>
    <definedName name="Ведущий_научный_сотрудник" localSheetId="14">[2]!Таблица5[Ведущий_научный_сотрудник]</definedName>
    <definedName name="Ведущий_научный_сотрудник" localSheetId="19">должности!#REF!</definedName>
    <definedName name="Ведущий_научный_сотрудник" localSheetId="16">должности!#REF!</definedName>
    <definedName name="Ведущий_научный_сотрудник" localSheetId="18">должности!#REF!</definedName>
    <definedName name="Ведущий_научный_сотрудник">Таблица3[Ведущий_научный_сотрудник]</definedName>
    <definedName name="Ведущий_специалист" localSheetId="21">[1]!Таблица3[Ведущий_специалист]</definedName>
    <definedName name="Ведущий_специалист" localSheetId="14">[2]!Таблица5[Ведущий_специалист]</definedName>
    <definedName name="Ведущий_специалист" localSheetId="19">должности!#REF!</definedName>
    <definedName name="Ведущий_специалист" localSheetId="16">должности!#REF!</definedName>
    <definedName name="Ведущий_специалист" localSheetId="18">должности!#REF!</definedName>
    <definedName name="Ведущий_специалист">Таблица3[Ведущий_специалист]</definedName>
    <definedName name="Вид_научного_исследования" localSheetId="21">[1]!Таблица2[Вид_научного_исследования]</definedName>
    <definedName name="Вид_научного_исследования" localSheetId="14">[2]!Таблица2[Вид_научного_исследования]</definedName>
    <definedName name="Вид_научного_исследования" localSheetId="19">#REF!</definedName>
    <definedName name="Вид_научного_исследования" localSheetId="16">#REF!</definedName>
    <definedName name="Вид_научного_исследования" localSheetId="18">#REF!</definedName>
    <definedName name="Вид_научного_исследования">#REF!</definedName>
    <definedName name="Внешний_эксперт" localSheetId="21">#REF!</definedName>
    <definedName name="Внешний_эксперт" localSheetId="14">#REF!</definedName>
    <definedName name="Внешний_эксперт" localSheetId="19">#REF!</definedName>
    <definedName name="Внешний_эксперт" localSheetId="16">#REF!</definedName>
    <definedName name="Внешний_эксперт" localSheetId="18">#REF!</definedName>
    <definedName name="Внешний_эксперт">#REF!</definedName>
    <definedName name="Внешний_эксперт_Без_степени" localSheetId="21">[1]!Таблица3[Внешний_эксперт_Без_степени]</definedName>
    <definedName name="Внешний_эксперт_Без_степени" localSheetId="14">[2]!Таблица5[Внешний_эксперт_Без_степени]</definedName>
    <definedName name="Внешний_эксперт_Без_степени" localSheetId="19">должности!#REF!</definedName>
    <definedName name="Внешний_эксперт_Без_степени" localSheetId="16">должности!#REF!</definedName>
    <definedName name="Внешний_эксперт_Без_степени" localSheetId="18">должности!#REF!</definedName>
    <definedName name="Внешний_эксперт_Без_степени">Таблица3[Внешний_эксперт_Без_степени]</definedName>
    <definedName name="Внешний_эксперт_Доктор_наук" localSheetId="21">[1]!Таблица3[Внешний_эксперт_Доктор_наук]</definedName>
    <definedName name="Внешний_эксперт_Доктор_наук" localSheetId="14">[2]!Таблица5[Внешний_эксперт_Доктор_наук]</definedName>
    <definedName name="Внешний_эксперт_Доктор_наук" localSheetId="19">должности!#REF!</definedName>
    <definedName name="Внешний_эксперт_Доктор_наук" localSheetId="16">должности!#REF!</definedName>
    <definedName name="Внешний_эксперт_Доктор_наук" localSheetId="18">должности!#REF!</definedName>
    <definedName name="Внешний_эксперт_Доктор_наук">Таблица3[Внешний_эксперт_Доктор_наук]</definedName>
    <definedName name="Внешний_эксперт_Кандидат_наук" localSheetId="21">[1]!Таблица3[Внешний_эксперт_Кандидат_наук]</definedName>
    <definedName name="Внешний_эксперт_Кандидат_наук" localSheetId="14">[2]!Таблица5[Внешний_эксперт_Кандидат_наук]</definedName>
    <definedName name="Внешний_эксперт_Кандидат_наук" localSheetId="19">должности!#REF!</definedName>
    <definedName name="Внешний_эксперт_Кандидат_наук" localSheetId="16">должности!#REF!</definedName>
    <definedName name="Внешний_эксперт_Кандидат_наук" localSheetId="18">должности!#REF!</definedName>
    <definedName name="Внешний_эксперт_Кандидат_наук">Таблица3[Внешний_эксперт_Кандидат_наук]</definedName>
    <definedName name="Главный_консультант" localSheetId="21">[1]!Таблица3[Главный_консультант]</definedName>
    <definedName name="Главный_консультант" localSheetId="14">[2]!Таблица5[Главный_консультант]</definedName>
    <definedName name="Главный_консультант" localSheetId="19">должности!#REF!</definedName>
    <definedName name="Главный_консультант" localSheetId="16">должности!#REF!</definedName>
    <definedName name="Главный_консультант" localSheetId="18">должности!#REF!</definedName>
    <definedName name="Главный_консультант">Таблица3[Главный_консультант]</definedName>
    <definedName name="Главный_научный_сотрудник" localSheetId="21">[1]!Таблица3[Главный_научный_сотрудник]</definedName>
    <definedName name="Главный_научный_сотрудник" localSheetId="14">[2]!Таблица5[Главный_научный_сотрудник]</definedName>
    <definedName name="Главный_научный_сотрудник" localSheetId="19">должности!#REF!</definedName>
    <definedName name="Главный_научный_сотрудник" localSheetId="16">должности!#REF!</definedName>
    <definedName name="Главный_научный_сотрудник" localSheetId="18">должности!#REF!</definedName>
    <definedName name="Главный_научный_сотрудник">Таблица3[Главный_научный_сотрудник]</definedName>
    <definedName name="Главный_специалист" localSheetId="21">[1]!Таблица3[Главный_специалист]</definedName>
    <definedName name="Главный_специалист" localSheetId="14">[2]!Таблица5[Главный_специалист]</definedName>
    <definedName name="Главный_специалист" localSheetId="19">должности!#REF!</definedName>
    <definedName name="Главный_специалист" localSheetId="16">должности!#REF!</definedName>
    <definedName name="Главный_специалист" localSheetId="18">должности!#REF!</definedName>
    <definedName name="Главный_специалист">Таблица3[Главный_специалист]</definedName>
    <definedName name="Декан_факультета" localSheetId="21">#REF!</definedName>
    <definedName name="Декан_факультета" localSheetId="14">#REF!</definedName>
    <definedName name="Декан_факультета" localSheetId="19">#REF!</definedName>
    <definedName name="Декан_факультета" localSheetId="16">#REF!</definedName>
    <definedName name="Декан_факультета" localSheetId="18">#REF!</definedName>
    <definedName name="Декан_факультета">#REF!</definedName>
    <definedName name="Декан_факультета_Без_степени" localSheetId="21">[1]!Таблица3[Декан_факультета_Без_степени]</definedName>
    <definedName name="Декан_факультета_Без_степени" localSheetId="14">[2]!Таблица5[Декан_факультета_Без_степени]</definedName>
    <definedName name="Декан_факультета_Без_степени" localSheetId="19">должности!#REF!</definedName>
    <definedName name="Декан_факультета_Без_степени" localSheetId="16">должности!#REF!</definedName>
    <definedName name="Декан_факультета_Без_степени" localSheetId="18">должности!#REF!</definedName>
    <definedName name="Декан_факультета_Без_степени">Таблица3[Декан_факультета_Без_степени]</definedName>
    <definedName name="Декан_факультета_Доктор_наук" localSheetId="21">[1]!Таблица3[Декан_факультета_Доктор_наук]</definedName>
    <definedName name="Декан_факультета_Доктор_наук" localSheetId="14">[2]!Таблица5[Декан_факультета_Доктор_наук]</definedName>
    <definedName name="Декан_факультета_Доктор_наук" localSheetId="19">должности!#REF!</definedName>
    <definedName name="Декан_факультета_Доктор_наук" localSheetId="16">должности!#REF!</definedName>
    <definedName name="Декан_факультета_Доктор_наук" localSheetId="18">должности!#REF!</definedName>
    <definedName name="Декан_факультета_Доктор_наук">Таблица3[Декан_факультета_Доктор_наук]</definedName>
    <definedName name="Декан_факультета_Кандидат_наук" localSheetId="21">[1]!Таблица3[Декан_факультета_Кандидат_наук]</definedName>
    <definedName name="Декан_факультета_Кандидат_наук" localSheetId="14">[2]!Таблица5[Декан_факультета_Кандидат_наук]</definedName>
    <definedName name="Декан_факультета_Кандидат_наук" localSheetId="19">должности!#REF!</definedName>
    <definedName name="Декан_факультета_Кандидат_наук" localSheetId="16">должности!#REF!</definedName>
    <definedName name="Декан_факультета_Кандидат_наук" localSheetId="18">должности!#REF!</definedName>
    <definedName name="Декан_факультета_Кандидат_наук">Таблица3[Декан_факультета_Кандидат_наук]</definedName>
    <definedName name="Директор_института_АУП" localSheetId="21">#REF!</definedName>
    <definedName name="Директор_института_АУП" localSheetId="14">#REF!</definedName>
    <definedName name="Директор_института_АУП" localSheetId="19">#REF!</definedName>
    <definedName name="Директор_института_АУП" localSheetId="16">#REF!</definedName>
    <definedName name="Директор_института_АУП" localSheetId="18">#REF!</definedName>
    <definedName name="Директор_института_АУП">#REF!</definedName>
    <definedName name="Директор_института_АУП_Без_степени" localSheetId="21">[1]!Таблица3[Директор_института_АУП_Без_степени]</definedName>
    <definedName name="Директор_института_АУП_Без_степени" localSheetId="14">[2]!Таблица5[Директор_института_АУП_Без_степени]</definedName>
    <definedName name="Директор_института_АУП_Без_степени" localSheetId="19">должности!#REF!</definedName>
    <definedName name="Директор_института_АУП_Без_степени" localSheetId="16">должности!#REF!</definedName>
    <definedName name="Директор_института_АУП_Без_степени" localSheetId="18">должности!#REF!</definedName>
    <definedName name="Директор_института_АУП_Без_степени">Таблица3[Директор_института_АУП_Без_степени]</definedName>
    <definedName name="Директор_института_АУП_Доктор_наук" localSheetId="21">[1]!Таблица3[Директор_института_АУП_Доктор_наук]</definedName>
    <definedName name="Директор_института_АУП_Доктор_наук" localSheetId="14">[2]!Таблица5[Директор_института_АУП_Доктор_наук]</definedName>
    <definedName name="Директор_института_АУП_Доктор_наук" localSheetId="19">должности!#REF!</definedName>
    <definedName name="Директор_института_АУП_Доктор_наук" localSheetId="16">должности!#REF!</definedName>
    <definedName name="Директор_института_АУП_Доктор_наук" localSheetId="18">должности!#REF!</definedName>
    <definedName name="Директор_института_АУП_Доктор_наук">Таблица3[Директор_института_АУП_Доктор_наук]</definedName>
    <definedName name="Директор_института_АУП_Кандидат_наук" localSheetId="21">[1]!Таблица3[Директор_института_АУП_Кандидат_наук]</definedName>
    <definedName name="Директор_института_АУП_Кандидат_наук" localSheetId="14">[2]!Таблица5[Директор_института_АУП_Кандидат_наук]</definedName>
    <definedName name="Директор_института_АУП_Кандидат_наук" localSheetId="19">должности!#REF!</definedName>
    <definedName name="Директор_института_АУП_Кандидат_наук" localSheetId="16">должности!#REF!</definedName>
    <definedName name="Директор_института_АУП_Кандидат_наук" localSheetId="18">должности!#REF!</definedName>
    <definedName name="Директор_института_АУП_Кандидат_наук">Таблица3[Директор_института_АУП_Кандидат_наук]</definedName>
    <definedName name="Директор_института_НР" localSheetId="21">#REF!</definedName>
    <definedName name="Директор_института_НР" localSheetId="14">#REF!</definedName>
    <definedName name="Директор_института_НР" localSheetId="19">#REF!</definedName>
    <definedName name="Директор_института_НР" localSheetId="16">#REF!</definedName>
    <definedName name="Директор_института_НР" localSheetId="18">#REF!</definedName>
    <definedName name="Директор_института_НР">#REF!</definedName>
    <definedName name="Директор_института_НР_Без_степени" localSheetId="21">[1]!Таблица3[Директор_института_НР_Без_степени]</definedName>
    <definedName name="Директор_института_НР_Без_степени" localSheetId="14">[2]!Таблица5[Директор_института_НР_Без_степени]</definedName>
    <definedName name="Директор_института_НР_Без_степени" localSheetId="19">должности!#REF!</definedName>
    <definedName name="Директор_института_НР_Без_степени" localSheetId="16">должности!#REF!</definedName>
    <definedName name="Директор_института_НР_Без_степени" localSheetId="18">должности!#REF!</definedName>
    <definedName name="Директор_института_НР_Без_степени">Таблица3[Директор_института_НР_Без_степени]</definedName>
    <definedName name="Директор_института_НР_Доктор_наук" localSheetId="21">[1]!Таблица3[Директор_института_НР_Доктор_наук]</definedName>
    <definedName name="Директор_института_НР_Доктор_наук" localSheetId="14">[2]!Таблица5[Директор_института_НР_Доктор_наук]</definedName>
    <definedName name="Директор_института_НР_Доктор_наук" localSheetId="19">должности!#REF!</definedName>
    <definedName name="Директор_института_НР_Доктор_наук" localSheetId="16">должности!#REF!</definedName>
    <definedName name="Директор_института_НР_Доктор_наук" localSheetId="18">должности!#REF!</definedName>
    <definedName name="Директор_института_НР_Доктор_наук">Таблица3[Директор_института_НР_Доктор_наук]</definedName>
    <definedName name="Директор_института_НР_Кандидат_наук" localSheetId="21">[1]!Таблица3[Директор_института_НР_Кандидат_наук]</definedName>
    <definedName name="Директор_института_НР_Кандидат_наук" localSheetId="14">[2]!Таблица5[Директор_института_НР_Кандидат_наук]</definedName>
    <definedName name="Директор_института_НР_Кандидат_наук" localSheetId="19">должности!#REF!</definedName>
    <definedName name="Директор_института_НР_Кандидат_наук" localSheetId="16">должности!#REF!</definedName>
    <definedName name="Директор_института_НР_Кандидат_наук" localSheetId="18">должности!#REF!</definedName>
    <definedName name="Директор_института_НР_Кандидат_наук">Таблица3[Директор_института_НР_Кандидат_наук]</definedName>
    <definedName name="Директор_центра_АУП" localSheetId="21">#REF!</definedName>
    <definedName name="Директор_центра_АУП" localSheetId="14">#REF!</definedName>
    <definedName name="Директор_центра_АУП" localSheetId="19">#REF!</definedName>
    <definedName name="Директор_центра_АУП" localSheetId="16">#REF!</definedName>
    <definedName name="Директор_центра_АУП" localSheetId="18">#REF!</definedName>
    <definedName name="Директор_центра_АУП">#REF!</definedName>
    <definedName name="Директор_центра_АУП_Без_степени" localSheetId="21">[1]!Таблица3[Директор_центра_АУП_Без_степени]</definedName>
    <definedName name="Директор_центра_АУП_Без_степени" localSheetId="14">[2]!Таблица5[Директор_центра_АУП_Без_степени]</definedName>
    <definedName name="Директор_центра_АУП_Без_степени" localSheetId="19">должности!#REF!</definedName>
    <definedName name="Директор_центра_АУП_Без_степени" localSheetId="16">должности!#REF!</definedName>
    <definedName name="Директор_центра_АУП_Без_степени" localSheetId="18">должности!#REF!</definedName>
    <definedName name="Директор_центра_АУП_Без_степени">Таблица3[Директор_центра_АУП_Без_степени]</definedName>
    <definedName name="Директор_центра_АУП_Доктор_наук" localSheetId="21">[1]!Таблица3[Директор_центра_АУП_Доктор_наук]</definedName>
    <definedName name="Директор_центра_АУП_Доктор_наук" localSheetId="14">[2]!Таблица5[Директор_центра_АУП_Доктор_наук]</definedName>
    <definedName name="Директор_центра_АУП_Доктор_наук" localSheetId="19">должности!#REF!</definedName>
    <definedName name="Директор_центра_АУП_Доктор_наук" localSheetId="16">должности!#REF!</definedName>
    <definedName name="Директор_центра_АУП_Доктор_наук" localSheetId="18">должности!#REF!</definedName>
    <definedName name="Директор_центра_АУП_Доктор_наук">Таблица3[Директор_центра_АУП_Доктор_наук]</definedName>
    <definedName name="Директор_центра_АУП_Кандидат_наук" localSheetId="21">[1]!Таблица3[Директор_центра_АУП_Кандидат_наук]</definedName>
    <definedName name="Директор_центра_АУП_Кандидат_наук" localSheetId="14">[2]!Таблица5[Директор_центра_АУП_Кандидат_наук]</definedName>
    <definedName name="Директор_центра_АУП_Кандидат_наук" localSheetId="19">должности!#REF!</definedName>
    <definedName name="Директор_центра_АУП_Кандидат_наук" localSheetId="16">должности!#REF!</definedName>
    <definedName name="Директор_центра_АУП_Кандидат_наук" localSheetId="18">должности!#REF!</definedName>
    <definedName name="Директор_центра_АУП_Кандидат_наук">Таблица3[Директор_центра_АУП_Кандидат_наук]</definedName>
    <definedName name="Директор_центра_НР" localSheetId="21">#REF!</definedName>
    <definedName name="Директор_центра_НР" localSheetId="14">#REF!</definedName>
    <definedName name="Директор_центра_НР" localSheetId="19">#REF!</definedName>
    <definedName name="Директор_центра_НР" localSheetId="16">#REF!</definedName>
    <definedName name="Директор_центра_НР" localSheetId="18">#REF!</definedName>
    <definedName name="Директор_центра_НР">#REF!</definedName>
    <definedName name="Директор_центра_НР_Без_степени" localSheetId="21">[1]!Таблица3[Директор_центра_НР_Без_степени]</definedName>
    <definedName name="Директор_центра_НР_Без_степени" localSheetId="14">[2]!Таблица5[Директор_центра_НР_Без_степени]</definedName>
    <definedName name="Директор_центра_НР_Без_степени" localSheetId="19">должности!#REF!</definedName>
    <definedName name="Директор_центра_НР_Без_степени" localSheetId="16">должности!#REF!</definedName>
    <definedName name="Директор_центра_НР_Без_степени" localSheetId="18">должности!#REF!</definedName>
    <definedName name="Директор_центра_НР_Без_степени">Таблица3[Директор_центра_НР_Без_степени]</definedName>
    <definedName name="Директор_центра_НР_Доктор_наук" localSheetId="21">[1]!Таблица3[Директор_центра_НР_Доктор_наук]</definedName>
    <definedName name="Директор_центра_НР_Доктор_наук" localSheetId="14">[2]!Таблица5[Директор_центра_НР_Доктор_наук]</definedName>
    <definedName name="Директор_центра_НР_Доктор_наук" localSheetId="19">должности!#REF!</definedName>
    <definedName name="Директор_центра_НР_Доктор_наук" localSheetId="16">должности!#REF!</definedName>
    <definedName name="Директор_центра_НР_Доктор_наук" localSheetId="18">должности!#REF!</definedName>
    <definedName name="Директор_центра_НР_Доктор_наук">Таблица3[Директор_центра_НР_Доктор_наук]</definedName>
    <definedName name="Директор_центра_НР_Кандидат_наук" localSheetId="21">[1]!Таблица3[Директор_центра_НР_Кандидат_наук]</definedName>
    <definedName name="Директор_центра_НР_Кандидат_наук" localSheetId="14">[2]!Таблица5[Директор_центра_НР_Кандидат_наук]</definedName>
    <definedName name="Директор_центра_НР_Кандидат_наук" localSheetId="19">должности!#REF!</definedName>
    <definedName name="Директор_центра_НР_Кандидат_наук" localSheetId="16">должности!#REF!</definedName>
    <definedName name="Директор_центра_НР_Кандидат_наук" localSheetId="18">должности!#REF!</definedName>
    <definedName name="Директор_центра_НР_Кандидат_наук">Таблица3[Директор_центра_НР_Кандидат_наук]</definedName>
    <definedName name="Доцент" localSheetId="21">[1]!Таблица3[Доцент]</definedName>
    <definedName name="Доцент" localSheetId="14">[2]!Таблица5[Доцент]</definedName>
    <definedName name="Доцент" localSheetId="19">должности!#REF!</definedName>
    <definedName name="Доцент" localSheetId="16">должности!#REF!</definedName>
    <definedName name="Доцент" localSheetId="18">должности!#REF!</definedName>
    <definedName name="Доцент">Таблица3[Доцент]</definedName>
    <definedName name="ёёё" localSheetId="21">#REF!</definedName>
    <definedName name="ёёё" localSheetId="14">#REF!</definedName>
    <definedName name="ёёё" localSheetId="19">#REF!</definedName>
    <definedName name="ёёё" localSheetId="16">#REF!</definedName>
    <definedName name="ёёё" localSheetId="18">#REF!</definedName>
    <definedName name="ёёё">#REF!</definedName>
    <definedName name="Заведующий_кафедрой" localSheetId="21">#REF!</definedName>
    <definedName name="Заведующий_кафедрой" localSheetId="14">#REF!</definedName>
    <definedName name="Заведующий_кафедрой" localSheetId="19">#REF!</definedName>
    <definedName name="Заведующий_кафедрой" localSheetId="16">#REF!</definedName>
    <definedName name="Заведующий_кафедрой" localSheetId="18">#REF!</definedName>
    <definedName name="Заведующий_кафедрой">#REF!</definedName>
    <definedName name="Заведующий_кафедрой_Без_степени" localSheetId="21">[1]!Таблица3[Заведующий_кафедрой_Без_степени]</definedName>
    <definedName name="Заведующий_кафедрой_Без_степени" localSheetId="14">[2]!Таблица5[Заведующий_кафедрой_Без_степени]</definedName>
    <definedName name="Заведующий_кафедрой_Без_степени" localSheetId="19">должности!#REF!</definedName>
    <definedName name="Заведующий_кафедрой_Без_степени" localSheetId="16">должности!#REF!</definedName>
    <definedName name="Заведующий_кафедрой_Без_степени" localSheetId="18">должности!#REF!</definedName>
    <definedName name="Заведующий_кафедрой_Без_степени">Таблица3[Заведующий_кафедрой_Без_степени]</definedName>
    <definedName name="Заведующий_кафедрой_Доктор_наук" localSheetId="21">[1]!Таблица3[Заведующий_кафедрой_Доктор_наук]</definedName>
    <definedName name="Заведующий_кафедрой_Доктор_наук" localSheetId="14">[2]!Таблица5[Заведующий_кафедрой_Доктор_наук]</definedName>
    <definedName name="Заведующий_кафедрой_Доктор_наук" localSheetId="19">должности!#REF!</definedName>
    <definedName name="Заведующий_кафедрой_Доктор_наук" localSheetId="16">должности!#REF!</definedName>
    <definedName name="Заведующий_кафедрой_Доктор_наук" localSheetId="18">должности!#REF!</definedName>
    <definedName name="Заведующий_кафедрой_Доктор_наук">Таблица3[Заведующий_кафедрой_Доктор_наук]</definedName>
    <definedName name="Заведующий_кафедрой_Кандидат_наук" localSheetId="21">[1]!Таблица3[Заведующий_кафедрой_Кандидат_наук]</definedName>
    <definedName name="Заведующий_кафедрой_Кандидат_наук" localSheetId="14">[2]!Таблица5[Заведующий_кафедрой_Кандидат_наук]</definedName>
    <definedName name="Заведующий_кафедрой_Кандидат_наук" localSheetId="19">должности!#REF!</definedName>
    <definedName name="Заведующий_кафедрой_Кандидат_наук" localSheetId="16">должности!#REF!</definedName>
    <definedName name="Заведующий_кафедрой_Кандидат_наук" localSheetId="18">должности!#REF!</definedName>
    <definedName name="Заведующий_кафедрой_Кандидат_наук">Таблица3[Заведующий_кафедрой_Кандидат_наук]</definedName>
    <definedName name="Заведующий_лабораторией" localSheetId="21">#REF!</definedName>
    <definedName name="Заведующий_лабораторией" localSheetId="14">#REF!</definedName>
    <definedName name="Заведующий_лабораторией" localSheetId="19">#REF!</definedName>
    <definedName name="Заведующий_лабораторией" localSheetId="16">#REF!</definedName>
    <definedName name="Заведующий_лабораторией" localSheetId="18">#REF!</definedName>
    <definedName name="Заведующий_лабораторией">#REF!</definedName>
    <definedName name="Заведующий_лабораторией_Без_степени" localSheetId="21">[1]!Таблица3[Заведующий_лабораторией_Без_степени]</definedName>
    <definedName name="Заведующий_лабораторией_Без_степени" localSheetId="14">[2]!Таблица5[Заведующий_лабораторией_Без_степени]</definedName>
    <definedName name="Заведующий_лабораторией_Без_степени" localSheetId="19">должности!#REF!</definedName>
    <definedName name="Заведующий_лабораторией_Без_степени" localSheetId="16">должности!#REF!</definedName>
    <definedName name="Заведующий_лабораторией_Без_степени" localSheetId="18">должности!#REF!</definedName>
    <definedName name="Заведующий_лабораторией_Без_степени">Таблица3[Заведующий_лабораторией_Без_степени]</definedName>
    <definedName name="Заведующий_лабораторией_Доктор_наук" localSheetId="21">[1]!Таблица3[Заведующий_лабораторией_Доктор_наук]</definedName>
    <definedName name="Заведующий_лабораторией_Доктор_наук" localSheetId="14">[2]!Таблица5[Заведующий_лабораторией_Доктор_наук]</definedName>
    <definedName name="Заведующий_лабораторией_Доктор_наук" localSheetId="19">должности!#REF!</definedName>
    <definedName name="Заведующий_лабораторией_Доктор_наук" localSheetId="16">должности!#REF!</definedName>
    <definedName name="Заведующий_лабораторией_Доктор_наук" localSheetId="18">должности!#REF!</definedName>
    <definedName name="Заведующий_лабораторией_Доктор_наук">Таблица3[Заведующий_лабораторией_Доктор_наук]</definedName>
    <definedName name="Заведующий_лабораторией_Кандидат_наук" localSheetId="21">[1]!Таблица3[Заведующий_лабораторией_Кандидат_наук]</definedName>
    <definedName name="Заведующий_лабораторией_Кандидат_наук" localSheetId="14">[2]!Таблица5[Заведующий_лабораторией_Кандидат_наук]</definedName>
    <definedName name="Заведующий_лабораторией_Кандидат_наук" localSheetId="19">должности!#REF!</definedName>
    <definedName name="Заведующий_лабораторией_Кандидат_наук" localSheetId="16">должности!#REF!</definedName>
    <definedName name="Заведующий_лабораторией_Кандидат_наук" localSheetId="18">должности!#REF!</definedName>
    <definedName name="Заведующий_лабораторией_Кандидат_наук">Таблица3[Заведующий_лабораторией_Кандидат_наук]</definedName>
    <definedName name="_xlnm.Print_Titles" localSheetId="18">'Состав ВТК ПЕЧАТЬ'!$9:$10</definedName>
    <definedName name="Заместитель_декана_по_направлениям_Без_степени" localSheetId="21">[1]!Таблица3[Заместитель_декана_по_направлениям_Без_степени]</definedName>
    <definedName name="Заместитель_декана_по_направлениям_Без_степени">Таблица3[Заместитель_декана_по_направлениям_Без_степени]</definedName>
    <definedName name="Заместитель_декана_по_направлениям_Доктор_наук" localSheetId="21">[1]!Таблица3[Заместитель_декана_по_направлениям_Доктор_наук]</definedName>
    <definedName name="Заместитель_декана_по_направлениям_Доктор_наук">Таблица3[Заместитель_декана_по_направлениям_Доктор_наук]</definedName>
    <definedName name="Заместитель_декана_по_направлениям_Кандидат_наук" localSheetId="21">[1]!Таблица3[Заместитель_декана_по_направлениям_Кандидат_наук]</definedName>
    <definedName name="Заместитель_декана_по_направлениям_Кандидат_наук">Таблица3[Заместитель_декана_по_направлениям_Кандидат_наук]</definedName>
    <definedName name="Заместитель_директора_института" localSheetId="21">#REF!</definedName>
    <definedName name="Заместитель_директора_института" localSheetId="14">#REF!</definedName>
    <definedName name="Заместитель_директора_института" localSheetId="19">#REF!</definedName>
    <definedName name="Заместитель_директора_института" localSheetId="16">#REF!</definedName>
    <definedName name="Заместитель_директора_института" localSheetId="18">#REF!</definedName>
    <definedName name="Заместитель_директора_института">#REF!</definedName>
    <definedName name="Заместитель_директора_института_АУП_Без_степени">Таблица3[Заместитель_директора_института_АУП_Без_степени]</definedName>
    <definedName name="Заместитель_директора_института_АУП_Доктор_наук">Таблица3[Заместитель_директора_института_АУП_Доктор_наук]</definedName>
    <definedName name="Заместитель_директора_института_АУП_Кандидат_наук">Таблица3[Заместитель_директора_института_АУП_Кандидат_наук]</definedName>
    <definedName name="Заместитель_директора_института_Без_степени" localSheetId="21">[1]!Таблица3[Заместитель_директора_института_Без_степени]</definedName>
    <definedName name="Заместитель_директора_института_Без_степени" localSheetId="14">[2]!Таблица5[Заместитель_директора_института_Без_степени]</definedName>
    <definedName name="Заместитель_директора_института_Без_степени" localSheetId="19">должности!#REF!</definedName>
    <definedName name="Заместитель_директора_института_Без_степени" localSheetId="16">должности!#REF!</definedName>
    <definedName name="Заместитель_директора_института_Без_степени" localSheetId="18">должности!#REF!</definedName>
    <definedName name="Заместитель_директора_института_Без_степени">Таблица3[Заместитель_директора_института_АУП_Без_степени]</definedName>
    <definedName name="Заместитель_директора_института_Доктор_наук" localSheetId="21">[1]!Таблица3[Заместитель_директора_института_Доктор_наук]</definedName>
    <definedName name="Заместитель_директора_института_Доктор_наук" localSheetId="14">[2]!Таблица5[Заместитель_директора_института_Доктор_наук]</definedName>
    <definedName name="Заместитель_директора_института_Доктор_наук" localSheetId="19">должности!#REF!</definedName>
    <definedName name="Заместитель_директора_института_Доктор_наук" localSheetId="16">должности!#REF!</definedName>
    <definedName name="Заместитель_директора_института_Доктор_наук" localSheetId="18">должности!#REF!</definedName>
    <definedName name="Заместитель_директора_института_Доктор_наук">Таблица3[Заместитель_директора_института_АУП_Доктор_наук]</definedName>
    <definedName name="Заместитель_директора_института_Кандидат_наук" localSheetId="21">[1]!Таблица3[Заместитель_директора_института_Кандидат_наук]</definedName>
    <definedName name="Заместитель_директора_института_Кандидат_наук" localSheetId="14">[2]!Таблица5[Заместитель_директора_института_Кандидат_наук]</definedName>
    <definedName name="Заместитель_директора_института_Кандидат_наук" localSheetId="19">должности!#REF!</definedName>
    <definedName name="Заместитель_директора_института_Кандидат_наук" localSheetId="16">должности!#REF!</definedName>
    <definedName name="Заместитель_директора_института_Кандидат_наук" localSheetId="18">должности!#REF!</definedName>
    <definedName name="Заместитель_директора_института_Кандидат_наук">Таблица3[Заместитель_директора_института_АУП_Кандидат_наук]</definedName>
    <definedName name="Заместитель_директора_института_НР_Без_степени">Таблица3[Заместитель_директора_института_НР_Без_степени]</definedName>
    <definedName name="Заместитель_директора_института_НР_Доктор_наук">Таблица3[Заместитель_директора_института_НР_Доктор_наук]</definedName>
    <definedName name="Заместитель_директора_института_НР_Кандидат_наук">Таблица3[Заместитель_директора_института_НР_Кандидат_наук]</definedName>
    <definedName name="Заместитель_директора_центра_АУП" localSheetId="21">#REF!</definedName>
    <definedName name="Заместитель_директора_центра_АУП" localSheetId="14">#REF!</definedName>
    <definedName name="Заместитель_директора_центра_АУП" localSheetId="19">#REF!</definedName>
    <definedName name="Заместитель_директора_центра_АУП" localSheetId="16">#REF!</definedName>
    <definedName name="Заместитель_директора_центра_АУП" localSheetId="18">#REF!</definedName>
    <definedName name="Заместитель_директора_центра_АУП">#REF!</definedName>
    <definedName name="Заместитель_директора_центра_АУП_Без_степени" localSheetId="21">[1]!Таблица3[Заместитель_директора_центра_АУП_Без_степени]</definedName>
    <definedName name="Заместитель_директора_центра_АУП_Без_степени" localSheetId="14">[2]!Таблица5[Заместитель_директора_центра_АУП_Без_степени]</definedName>
    <definedName name="Заместитель_директора_центра_АУП_Без_степени" localSheetId="19">должности!#REF!</definedName>
    <definedName name="Заместитель_директора_центра_АУП_Без_степени" localSheetId="16">должности!#REF!</definedName>
    <definedName name="Заместитель_директора_центра_АУП_Без_степени" localSheetId="18">должности!#REF!</definedName>
    <definedName name="Заместитель_директора_центра_АУП_Без_степени">Таблица3[Заместитель_директора_центра_АУП_Без_степени]</definedName>
    <definedName name="Заместитель_директора_центра_АУП_Доктор_наук" localSheetId="21">[1]!Таблица3[Заместитель_директора_центра_АУП_Доктор_наук]</definedName>
    <definedName name="Заместитель_директора_центра_АУП_Доктор_наук" localSheetId="14">[2]!Таблица5[Заместитель_директора_центра_АУП_Доктор_наук]</definedName>
    <definedName name="Заместитель_директора_центра_АУП_Доктор_наук" localSheetId="19">должности!#REF!</definedName>
    <definedName name="Заместитель_директора_центра_АУП_Доктор_наук" localSheetId="16">должности!#REF!</definedName>
    <definedName name="Заместитель_директора_центра_АУП_Доктор_наук" localSheetId="18">должности!#REF!</definedName>
    <definedName name="Заместитель_директора_центра_АУП_Доктор_наук">Таблица3[Заместитель_директора_центра_АУП_Доктор_наук]</definedName>
    <definedName name="Заместитель_директора_центра_АУП_Кандидат_наук" localSheetId="21">[1]!Таблица3[Заместитель_директора_центра_АУП_Кандидат_наук]</definedName>
    <definedName name="Заместитель_директора_центра_АУП_Кандидат_наук" localSheetId="14">[2]!Таблица5[Заместитель_директора_центра_АУП_Кандидат_наук]</definedName>
    <definedName name="Заместитель_директора_центра_АУП_Кандидат_наук" localSheetId="19">должности!#REF!</definedName>
    <definedName name="Заместитель_директора_центра_АУП_Кандидат_наук" localSheetId="16">должности!#REF!</definedName>
    <definedName name="Заместитель_директора_центра_АУП_Кандидат_наук" localSheetId="18">должности!#REF!</definedName>
    <definedName name="Заместитель_директора_центра_АУП_Кандидат_наук">Таблица3[Заместитель_директора_центра_АУП_Кандидат_наук]</definedName>
    <definedName name="Заместитель_директора_центра_НР" localSheetId="21">#REF!</definedName>
    <definedName name="Заместитель_директора_центра_НР" localSheetId="14">#REF!</definedName>
    <definedName name="Заместитель_директора_центра_НР" localSheetId="19">#REF!</definedName>
    <definedName name="Заместитель_директора_центра_НР" localSheetId="16">#REF!</definedName>
    <definedName name="Заместитель_директора_центра_НР" localSheetId="18">#REF!</definedName>
    <definedName name="Заместитель_директора_центра_НР">#REF!</definedName>
    <definedName name="Заместитель_директора_центра_НР_Без_степени" localSheetId="21">[1]!Таблица3[Заместитель_директора_центра_НР_Без_степени]</definedName>
    <definedName name="Заместитель_директора_центра_НР_Без_степени" localSheetId="14">[2]!Таблица5[Заместитель_директора_центра_НР_Без_степени]</definedName>
    <definedName name="Заместитель_директора_центра_НР_Без_степени" localSheetId="19">должности!#REF!</definedName>
    <definedName name="Заместитель_директора_центра_НР_Без_степени" localSheetId="16">должности!#REF!</definedName>
    <definedName name="Заместитель_директора_центра_НР_Без_степени" localSheetId="18">должности!#REF!</definedName>
    <definedName name="Заместитель_директора_центра_НР_Без_степени">Таблица3[Заместитель_директора_центра_НР_Без_степени]</definedName>
    <definedName name="Заместитель_директора_центра_НР_Доктор_наук" localSheetId="21">[1]!Таблица3[Заместитель_директора_центра_НР_Доктор_наук]</definedName>
    <definedName name="Заместитель_директора_центра_НР_Доктор_наук" localSheetId="14">[2]!Таблица5[Заместитель_директора_центра_НР_Доктор_наук]</definedName>
    <definedName name="Заместитель_директора_центра_НР_Доктор_наук" localSheetId="19">должности!#REF!</definedName>
    <definedName name="Заместитель_директора_центра_НР_Доктор_наук" localSheetId="16">должности!#REF!</definedName>
    <definedName name="Заместитель_директора_центра_НР_Доктор_наук" localSheetId="18">должности!#REF!</definedName>
    <definedName name="Заместитель_директора_центра_НР_Доктор_наук">Таблица3[Заместитель_директора_центра_НР_Доктор_наук]</definedName>
    <definedName name="Заместитель_директора_центра_НР_Кандидат_наук" localSheetId="21">[1]!Таблица3[Заместитель_директора_центра_НР_Кандидат_наук]</definedName>
    <definedName name="Заместитель_директора_центра_НР_Кандидат_наук" localSheetId="14">[2]!Таблица5[Заместитель_директора_центра_НР_Кандидат_наук]</definedName>
    <definedName name="Заместитель_директора_центра_НР_Кандидат_наук" localSheetId="19">должности!#REF!</definedName>
    <definedName name="Заместитель_директора_центра_НР_Кандидат_наук" localSheetId="16">должности!#REF!</definedName>
    <definedName name="Заместитель_директора_центра_НР_Кандидат_наук" localSheetId="18">должности!#REF!</definedName>
    <definedName name="Заместитель_директора_центра_НР_Кандидат_наук">Таблица3[Заместитель_директора_центра_НР_Кандидат_наук]</definedName>
    <definedName name="Заместитель_заведующего_кафедрой_Без_степени" localSheetId="21">[1]!Таблица3[Заместитель_заведующего_кафедрой_Без_степени]</definedName>
    <definedName name="Заместитель_заведующего_кафедрой_Без_степени">Таблица3[Заместитель_заведующего_кафедрой_Без_степени]</definedName>
    <definedName name="Заместитель_заведующего_кафедрой_Доктор_наук" localSheetId="21">[1]!Таблица3[Заместитель_заведующего_кафедрой_Доктор_наук]</definedName>
    <definedName name="Заместитель_заведующего_кафедрой_Доктор_наук">Таблица3[Заместитель_заведующего_кафедрой_Доктор_наук]</definedName>
    <definedName name="Заместитель_заведующего_кафедрой_Кандидат_наук" localSheetId="21">[1]!Таблица3[Заместитель_заведующего_кафедрой_Кандидат_наук]</definedName>
    <definedName name="Заместитель_заведующего_кафедрой_Кандидат_наук">Таблица3[Заместитель_заведующего_кафедрой_Кандидат_наук]</definedName>
    <definedName name="Заместитель_заведующего_лабораторией_Без_степени" localSheetId="21">[1]!Таблица3[Заместитель_заведующего_лабораторией_Без_степени]</definedName>
    <definedName name="Заместитель_заведующего_лабораторией_Без_степени">Таблица3[Заместитель_заведующего_лабораторией_Без_степени]</definedName>
    <definedName name="Заместитель_научного_руководителя_Без_степени" localSheetId="21">[1]!Таблица3[Заместитель_научного_руководителя_Без_степени]</definedName>
    <definedName name="Заместитель_научного_руководителя_Без_степени">Таблица3[Заместитель_научного_руководителя_Без_степени]</definedName>
    <definedName name="Заместитель_научного_руководителя_Доктор_наук" localSheetId="21">[1]!Таблица3[Заместитель_научного_руководителя_Доктор_наук]</definedName>
    <definedName name="Заместитель_научного_руководителя_Доктор_наук">Таблица3[Заместитель_научного_руководителя_Доктор_наук]</definedName>
    <definedName name="Заместитель_научного_руководителя_Кандидат_наук" localSheetId="21">[1]!Таблица3[Заместитель_научного_руководителя_Кандидат_наук]</definedName>
    <definedName name="Заместитель_научного_руководителя_Кандидат_наук">Таблица3[Заместитель_научного_руководителя_Кандидат_наук]</definedName>
    <definedName name="Заместитель_начальника_отдела_Без_степени" localSheetId="21">[1]!Таблица3[Заместитель_начальника_отдела_Без_степени]</definedName>
    <definedName name="Заместитель_начальника_отдела_Без_степени">Таблица3[Заместитель_начальника_отдела_Без_степени]</definedName>
    <definedName name="Заместитель_начальника_управления_Без_степени" localSheetId="21">[1]!Таблица3[Заместитель_начальника_управления_Без_степени]</definedName>
    <definedName name="Заместитель_начальника_управления_Без_степени">Таблица3[Заместитель_начальника_управления_Без_степени]</definedName>
    <definedName name="Заместитель_руководителя_департамента_Без_степени" localSheetId="21">[1]!Таблица3[Заместитель_руководителя_департамента_Без_степени]</definedName>
    <definedName name="Заместитель_руководителя_департамента_Без_степени">Таблица3[Заместитель_руководителя_учебно_научного_департамента_Без_степени]</definedName>
    <definedName name="Заместитель_руководителя_департамента_Доктор_наук" localSheetId="21">[1]!Таблица3[Заместитель_руководителя_департамента_Доктор_наук]</definedName>
    <definedName name="Заместитель_руководителя_департамента_Доктор_наук">Таблица3[Заместитель_руководителя_учебно_научного_департамента_Доктор_наук]</definedName>
    <definedName name="Заместитель_руководителя_департамента_Кандидат_наук" localSheetId="21">[1]!Таблица3[Заместитель_руководителя_департамента_Кандидат_наук]</definedName>
    <definedName name="Заместитель_руководителя_департамента_Кандидат_наук">Таблица3[Заместитель_руководителя_учебно_научного_департамента_Кандидат_наук]</definedName>
    <definedName name="Заместитель_руководителя_службы_Без_степени" localSheetId="21">[1]!Таблица3[Заместитель_руководителя_службы_Без_степени]</definedName>
    <definedName name="Заместитель_руководителя_службы_Без_степени">Таблица3[Заместитель_руководителя_службы_Без_степени]</definedName>
    <definedName name="Заместитель_руководителя_учебно_научного_департамента_Без_степени">Таблица3[Заместитель_руководителя_учебно_научного_департамента_Без_степени]</definedName>
    <definedName name="Заместитель_руководителя_учебно_научного_департамента_Доктор_наук">Таблица3[Заместитель_руководителя_учебно_научного_департамента_Доктор_наук]</definedName>
    <definedName name="Заместитель_руководителя_учебно_научного_департамента_Кандидат_наук">Таблица3[Заместитель_руководителя_учебно_научного_департамента_Кандидат_наук]</definedName>
    <definedName name="КатегорияНПР">'[3]Приложение №5'!$C$10:$C$20</definedName>
    <definedName name="Консультант" localSheetId="21">[1]!Таблица3[Консультант]</definedName>
    <definedName name="Консультант" localSheetId="14">[2]!Таблица5[Консультант]</definedName>
    <definedName name="Консультант" localSheetId="19">должности!#REF!</definedName>
    <definedName name="Консультант" localSheetId="16">должности!#REF!</definedName>
    <definedName name="Консультант" localSheetId="18">должности!#REF!</definedName>
    <definedName name="Консультант">Таблица3[Консультант]</definedName>
    <definedName name="Лаборант_исследователь" localSheetId="21">[1]!Таблица3[Лаборант_исследователь]</definedName>
    <definedName name="Лаборант_исследователь" localSheetId="14">[2]!Таблица5[Лаборант_исследователь]</definedName>
    <definedName name="Лаборант_исследователь" localSheetId="19">должности!#REF!</definedName>
    <definedName name="Лаборант_исследователь" localSheetId="16">должности!#REF!</definedName>
    <definedName name="Лаборант_исследователь" localSheetId="18">должности!#REF!</definedName>
    <definedName name="Лаборант_исследователь">Таблица3[Лаборант_исследователь]</definedName>
    <definedName name="Младший_научный_сотрудник" localSheetId="21">[1]!Таблица3[Младший_научный_сотрудник]</definedName>
    <definedName name="Младший_научный_сотрудник" localSheetId="14">[2]!Таблица5[Младший_научный_сотрудник]</definedName>
    <definedName name="Младший_научный_сотрудник" localSheetId="19">должности!#REF!</definedName>
    <definedName name="Младший_научный_сотрудник" localSheetId="16">должности!#REF!</definedName>
    <definedName name="Младший_научный_сотрудник" localSheetId="18">должности!#REF!</definedName>
    <definedName name="Младший_научный_сотрудник">Таблица3[Младший_научный_сотрудник]</definedName>
    <definedName name="Наименование_подразделения_НИСП" localSheetId="21">[1]!Таблица2[Наименование_подразделения_НИСП]</definedName>
    <definedName name="Наименование_подразделения_НИСП" localSheetId="14">[2]!Таблица2[Наименование_подразделения_НИСП]</definedName>
    <definedName name="Наименование_подразделения_НИСП" localSheetId="19">#REF!</definedName>
    <definedName name="Наименование_подразделения_НИСП" localSheetId="16">#REF!</definedName>
    <definedName name="Наименование_подразделения_НИСП" localSheetId="18">#REF!</definedName>
    <definedName name="Наименование_подразделения_НИСП">#REF!</definedName>
    <definedName name="Наименование_темы" localSheetId="21">[1]!Таблица2[Наименование_темы]</definedName>
    <definedName name="Наименование_темы" localSheetId="14">[2]!Таблица2[Наименование_темы]</definedName>
    <definedName name="Наименование_темы" localSheetId="19">#REF!</definedName>
    <definedName name="Наименование_темы" localSheetId="16">#REF!</definedName>
    <definedName name="Наименование_темы" localSheetId="18">#REF!</definedName>
    <definedName name="Наименование_темы">#REF!</definedName>
    <definedName name="Научный_руководитель" localSheetId="21">[1]!Таблица3[Научный_руководитель]</definedName>
    <definedName name="Научный_руководитель" localSheetId="14">[2]!Таблица5[Научный_руководитель]</definedName>
    <definedName name="Научный_руководитель" localSheetId="19">должности!#REF!</definedName>
    <definedName name="Научный_руководитель" localSheetId="16">должности!#REF!</definedName>
    <definedName name="Научный_руководитель" localSheetId="18">должности!#REF!</definedName>
    <definedName name="Научный_руководитель">Таблица3[Научный_руководитель]</definedName>
    <definedName name="Научный_сотрудник" localSheetId="21">[1]!Таблица3[Научный_сотрудник]</definedName>
    <definedName name="Научный_сотрудник" localSheetId="14">[2]!Таблица5[Научный_сотрудник]</definedName>
    <definedName name="Научный_сотрудник" localSheetId="19">должности!#REF!</definedName>
    <definedName name="Научный_сотрудник" localSheetId="16">должности!#REF!</definedName>
    <definedName name="Научный_сотрудник" localSheetId="18">должности!#REF!</definedName>
    <definedName name="Научный_сотрудник">Таблица3[Научный_сотрудник]</definedName>
    <definedName name="Начальник_отдела_Без_степени" localSheetId="21">[1]!Таблица3[Начальник_отдела_Без_степени]</definedName>
    <definedName name="Начальник_отдела_Без_степени">Таблица3[Начальник_отдела_Без_степени]</definedName>
    <definedName name="Начальник_управления_Без_степени" localSheetId="21">[1]!Таблица3[Начальник_управления_Без_степени]</definedName>
    <definedName name="Начальник_управления_Без_степени">Таблица3[Начальник_управления_Без_степени]</definedName>
    <definedName name="Номер_темы" localSheetId="21">[1]!Таблица2[Номер_темы]</definedName>
    <definedName name="Номер_темы" localSheetId="14">[2]!Таблица2[Номер_темы]</definedName>
    <definedName name="Номер_темы" localSheetId="19">#REF!</definedName>
    <definedName name="Номер_темы" localSheetId="16">#REF!</definedName>
    <definedName name="Номер_темы" localSheetId="18">#REF!</definedName>
    <definedName name="Номер_темы">#REF!</definedName>
    <definedName name="_xlnm.Print_Area" localSheetId="12">Выплаты!$A$1:$AC$122</definedName>
    <definedName name="_xlnm.Print_Area" localSheetId="5">Командировочные!$A$1:$L$12</definedName>
    <definedName name="_xlnm.Print_Area" localSheetId="4">Мат.запасы!$A$1:$J$14</definedName>
    <definedName name="_xlnm.Print_Area" localSheetId="14">Премирование!$A$1:$Q$133</definedName>
    <definedName name="_xlnm.Print_Area" localSheetId="15">'Премирование ПЕЧАТЬ'!$A$1:$E$123</definedName>
    <definedName name="_xlnm.Print_Area" localSheetId="6">'Прочие расходы'!$A$1:$J$17</definedName>
    <definedName name="_xlnm.Print_Area" localSheetId="8">Работы!$A$1:$D$26</definedName>
    <definedName name="_xlnm.Print_Area" localSheetId="19">'Работы ПЕЧАТЬ'!$A$1:$D$185</definedName>
    <definedName name="_xlnm.Print_Area" localSheetId="23">Расценка!$A$1:$J$30</definedName>
    <definedName name="_xlnm.Print_Area" localSheetId="16">'Смета Реком.'!$B$1:$F$41</definedName>
    <definedName name="_xlnm.Print_Area" localSheetId="17">'Смета Рук.ВТК'!$B$1:$F$41</definedName>
    <definedName name="_xlnm.Print_Area" localSheetId="18">'Состав ВТК ПЕЧАТЬ'!$A$1:$F$117</definedName>
    <definedName name="_xlnm.Print_Area" localSheetId="3">Титул!$A$2:$B$27</definedName>
    <definedName name="_xlnm.Print_Area" localSheetId="9">'Трудозатраты членов ВТК'!$A$1:$F$475</definedName>
    <definedName name="_xlnm.Print_Area" localSheetId="20">'Штатка ПЕЧАТЬ'!$A$1:$F$121</definedName>
    <definedName name="Ответственный_исполнитель">Таблица1[Ответственный_исполнитель]</definedName>
    <definedName name="Первый_заместитель_декана_Без_степени" localSheetId="21">[1]!Таблица3[Первый_заместитель_декана_Без_степени]</definedName>
    <definedName name="Первый_заместитель_декана_Без_степени">Таблица3[Первый_заместитель_декана_Без_степени]</definedName>
    <definedName name="Первый_заместитель_декана_Доктор_наук" localSheetId="21">[1]!Таблица3[Первый_заместитель_декана_Доктор_наук]</definedName>
    <definedName name="Первый_заместитель_декана_Доктор_наук">Таблица3[Первый_заместитель_декана_Доктор_наук]</definedName>
    <definedName name="Первый_заместитель_декана_Кандидат_наук" localSheetId="21">[1]!Таблица3[Первый_заместитель_декана_Кандидат_наук]</definedName>
    <definedName name="Первый_заместитель_декана_Кандидат_наук">Таблица3[Первый_заместитель_декана_Кандидат_наук]</definedName>
    <definedName name="Первый_заместитель_руководителя_департамента_Без_степени" localSheetId="21">[1]!Таблица3[Первый_заместитель_руководителя_департамента_Без_степени]</definedName>
    <definedName name="Первый_заместитель_руководителя_департамента_Без_степени">Таблица3[Первый_заместитель_руководителя_департамента_Без_степени]</definedName>
    <definedName name="Первый_заместитель_руководителя_департамента_Доктор_наук" localSheetId="21">[1]!Таблица3[Первый_заместитель_руководителя_департамента_Доктор_наук]</definedName>
    <definedName name="Первый_заместитель_руководителя_департамента_Доктор_наук">Таблица3[Первый_заместитель_руководителя_департамента_Доктор_наук]</definedName>
    <definedName name="Первый_заместитель_руководителя_департамента_Кандидат_наук" localSheetId="21">[1]!Таблица3[Первый_заместитель_руководителя_департамента_Кандидат_наук]</definedName>
    <definedName name="Первый_заместитель_руководителя_департамента_Кандидат_наук">Таблица3[Первый_заместитель_руководителя_департамента_Кандидат_наук]</definedName>
    <definedName name="Помощник_по_направлениям_Без_степени" localSheetId="21">[1]!Таблица3[Помощник_по_направлениям_Без_степени]</definedName>
    <definedName name="Помощник_по_направлениям_Без_степени">Таблица3[Помощник_по_направлениям_Без_степени]</definedName>
    <definedName name="Президент_Доктор_наук" localSheetId="21">[1]!Таблица3[Президент_Доктор_наук]</definedName>
    <definedName name="Президент_Доктор_наук">Таблица3[Президент_Доктор_наук]</definedName>
    <definedName name="Преподаватель" localSheetId="21">[1]!Таблица3[Преподаватель]</definedName>
    <definedName name="Преподаватель" localSheetId="14">[2]!Таблица5[Преподаватель]</definedName>
    <definedName name="Преподаватель" localSheetId="19">должности!#REF!</definedName>
    <definedName name="Преподаватель" localSheetId="16">должности!#REF!</definedName>
    <definedName name="Преподаватель" localSheetId="18">должности!#REF!</definedName>
    <definedName name="Преподаватель">Таблица3[Преподаватель]</definedName>
    <definedName name="Профессор" localSheetId="21">[1]!Таблица3[Профессор]</definedName>
    <definedName name="Профессор" localSheetId="14">[2]!Таблица5[Профессор]</definedName>
    <definedName name="Профессор" localSheetId="19">должности!#REF!</definedName>
    <definedName name="Профессор" localSheetId="16">должности!#REF!</definedName>
    <definedName name="Профессор" localSheetId="18">должности!#REF!</definedName>
    <definedName name="Профессор">Таблица3[Профессор]</definedName>
    <definedName name="Профессор_исследователь_Без_степени" localSheetId="21">[1]!Таблица3[Профессор_исследователь_Без_степени]</definedName>
    <definedName name="Профессор_исследователь_Без_степени">Таблица3[Профессор_исследователь_Без_степени]</definedName>
    <definedName name="Профессор_исследователь_Доктор_наук">Таблица3[Профессор_исследователь_Доктор_наук]</definedName>
    <definedName name="Профессор_исследователь_Кандидат_наук">Таблица3[Профессор_исследователь_Кандидат_наук]</definedName>
    <definedName name="Профессор_консультант_Без_степени" localSheetId="21">[1]!Таблица3[Профессор_консультант_Без_степени]</definedName>
    <definedName name="Профессор_консультант_Без_степени">Таблица3[Профессор_консультант_Без_степени]</definedName>
    <definedName name="Профессор_консультант_Доктор_наук">Таблица3[Профессор_консультант_Доктор_наук]</definedName>
    <definedName name="Профессор_консультант_Кандидат_наук">Таблица3[Профессор_консультант_Кандидат_наук]</definedName>
    <definedName name="Руководитель_ВТК">справочник!$G$2:$G$10</definedName>
    <definedName name="Руководитель_департамента_Без_степени" localSheetId="21">[1]!Таблица3[Руководитель_департамента_Без_степени]</definedName>
    <definedName name="Руководитель_департамента_Без_степени">Таблица3[Руководитель_учебно_научного_департамента_Без_степени]</definedName>
    <definedName name="Руководитель_департамента_Доктор_наук" localSheetId="21">[1]!Таблица3[Руководитель_департамента_Доктор_наук]</definedName>
    <definedName name="Руководитель_департамента_Доктор_наук">Таблица3[Руководитель_учебно_научного_департамента_Доктор_наук]</definedName>
    <definedName name="Руководитель_департамента_Кандидат_наук" localSheetId="21">[1]!Таблица3[Руководитель_департамента_Кандидат_наук]</definedName>
    <definedName name="Руководитель_департамента_Кандидат_наук">Таблица3[Руководитель_учебно_научного_департамента_Кандидат_наук]</definedName>
    <definedName name="Руководитель_службы_Без_степени" localSheetId="21">[1]!Таблица3[Руководитель_службы_Без_степени]</definedName>
    <definedName name="Руководитель_службы_Без_степени">Таблица3[Руководитель_службы_Без_степени]</definedName>
    <definedName name="Руководитель_учебно_научного_департамента_Без_степени">Таблица3[Руководитель_учебно_научного_департамента_Без_степени]</definedName>
    <definedName name="Руководитель_учебно_научного_департамента_Доктор_наук">Таблица3[Руководитель_учебно_научного_департамента_Доктор_наук]</definedName>
    <definedName name="Руководитель_учебно_научного_департамента_Кандидат_наук">Таблица3[Руководитель_учебно_научного_департамента_Кандидат_наук]</definedName>
    <definedName name="Советник" localSheetId="21">[1]!Таблица3[Советник]</definedName>
    <definedName name="Советник" localSheetId="14">[2]!Таблица5[Советник]</definedName>
    <definedName name="Советник" localSheetId="19">должности!#REF!</definedName>
    <definedName name="Советник" localSheetId="16">должности!#REF!</definedName>
    <definedName name="Советник" localSheetId="18">должности!#REF!</definedName>
    <definedName name="Советник">Таблица3[Советник]</definedName>
    <definedName name="Специалист" localSheetId="21">[1]!Таблица3[Специалист]</definedName>
    <definedName name="Специалист" localSheetId="14">[2]!Таблица5[Специалист]</definedName>
    <definedName name="Специалист" localSheetId="19">должности!#REF!</definedName>
    <definedName name="Специалист" localSheetId="16">должности!#REF!</definedName>
    <definedName name="Специалист" localSheetId="18">должности!#REF!</definedName>
    <definedName name="Специалист">Таблица3[Специалист]</definedName>
    <definedName name="Стажер_исследователь" localSheetId="21">[1]!Таблица3[Стажер_исследователь]</definedName>
    <definedName name="Стажер_исследователь" localSheetId="14">[2]!Таблица5[Стажер_исследователь]</definedName>
    <definedName name="Стажер_исследователь" localSheetId="19">должности!#REF!</definedName>
    <definedName name="Стажер_исследователь" localSheetId="16">должности!#REF!</definedName>
    <definedName name="Стажер_исследователь" localSheetId="18">должности!#REF!</definedName>
    <definedName name="Стажер_исследователь">Таблица3[Стажер_исследователь]</definedName>
    <definedName name="Старший_научный_сотрудник" localSheetId="21">[1]!Таблица3[Старший_научный_сотрудник]</definedName>
    <definedName name="Старший_научный_сотрудник" localSheetId="14">[2]!Таблица5[Старший_научный_сотрудник]</definedName>
    <definedName name="Старший_научный_сотрудник" localSheetId="19">должности!#REF!</definedName>
    <definedName name="Старший_научный_сотрудник" localSheetId="16">должности!#REF!</definedName>
    <definedName name="Старший_научный_сотрудник" localSheetId="18">должности!#REF!</definedName>
    <definedName name="Старший_научный_сотрудник">Таблица3[Старший_научный_сотрудник]</definedName>
    <definedName name="Старший_преподаватель" localSheetId="21">[1]!Таблица3[Старший_преподаватель]</definedName>
    <definedName name="Старший_преподаватель" localSheetId="14">[2]!Таблица5[Старший_преподаватель]</definedName>
    <definedName name="Старший_преподаватель" localSheetId="19">должности!#REF!</definedName>
    <definedName name="Старший_преподаватель" localSheetId="16">должности!#REF!</definedName>
    <definedName name="Старший_преподаватель" localSheetId="18">должности!#REF!</definedName>
    <definedName name="Старший_преподаватель">Таблица3[Старший_преподаватель]</definedName>
    <definedName name="Студент" localSheetId="21">[1]!Таблица3[Студент]</definedName>
    <definedName name="Студент" localSheetId="14">[2]!Таблица5[Студент]</definedName>
    <definedName name="Студент" localSheetId="19">должности!#REF!</definedName>
    <definedName name="Студент" localSheetId="16">должности!#REF!</definedName>
    <definedName name="Студент" localSheetId="18">должности!#REF!</definedName>
    <definedName name="Студент">Таблица3[Студент]</definedName>
    <definedName name="Член_ВТК">справочник!$I$2:$I$10</definedName>
    <definedName name="Член_ВТК_внешний_эксперт">справочник!$K$2:$K$9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41" l="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R106" i="41"/>
  <c r="R107" i="41"/>
  <c r="R108" i="41"/>
  <c r="R109" i="41"/>
  <c r="R110" i="41"/>
  <c r="R111" i="41"/>
  <c r="R112" i="41"/>
  <c r="R113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H32" i="51" l="1"/>
  <c r="I32" i="51"/>
  <c r="J32" i="51"/>
  <c r="K32" i="51"/>
  <c r="H33" i="51"/>
  <c r="I33" i="51"/>
  <c r="J33" i="51"/>
  <c r="K33" i="51"/>
  <c r="H34" i="51"/>
  <c r="I34" i="51"/>
  <c r="J34" i="51"/>
  <c r="K34" i="51"/>
  <c r="H35" i="51"/>
  <c r="I35" i="51"/>
  <c r="J35" i="51"/>
  <c r="K35" i="51"/>
  <c r="H36" i="51"/>
  <c r="I36" i="51"/>
  <c r="J36" i="51"/>
  <c r="K36" i="51"/>
  <c r="H37" i="51"/>
  <c r="I37" i="51"/>
  <c r="J37" i="51"/>
  <c r="K37" i="51"/>
  <c r="H38" i="51"/>
  <c r="I38" i="51"/>
  <c r="J38" i="51"/>
  <c r="K38" i="51"/>
  <c r="H39" i="51"/>
  <c r="I39" i="51"/>
  <c r="J39" i="51"/>
  <c r="K39" i="51"/>
  <c r="H40" i="51"/>
  <c r="I40" i="51"/>
  <c r="J40" i="51"/>
  <c r="K40" i="51"/>
  <c r="H41" i="51"/>
  <c r="I41" i="51"/>
  <c r="J41" i="51"/>
  <c r="K41" i="51"/>
  <c r="H42" i="51"/>
  <c r="I42" i="51"/>
  <c r="J42" i="51"/>
  <c r="K42" i="51"/>
  <c r="H43" i="51"/>
  <c r="I43" i="51"/>
  <c r="J43" i="51"/>
  <c r="K43" i="51"/>
  <c r="H44" i="51"/>
  <c r="I44" i="51"/>
  <c r="J44" i="51"/>
  <c r="K44" i="51"/>
  <c r="H45" i="51"/>
  <c r="I45" i="51"/>
  <c r="J45" i="51"/>
  <c r="K45" i="51"/>
  <c r="H46" i="51"/>
  <c r="I46" i="51"/>
  <c r="J46" i="51"/>
  <c r="K46" i="51"/>
  <c r="H47" i="51"/>
  <c r="I47" i="51"/>
  <c r="J47" i="51"/>
  <c r="K47" i="51"/>
  <c r="H48" i="51"/>
  <c r="I48" i="51"/>
  <c r="J48" i="51"/>
  <c r="K48" i="51"/>
  <c r="H49" i="51"/>
  <c r="I49" i="51"/>
  <c r="J49" i="51"/>
  <c r="K49" i="51"/>
  <c r="H50" i="51"/>
  <c r="I50" i="51"/>
  <c r="J50" i="51"/>
  <c r="K50" i="51"/>
  <c r="H51" i="51"/>
  <c r="I51" i="51"/>
  <c r="J51" i="51"/>
  <c r="K51" i="51"/>
  <c r="H52" i="51"/>
  <c r="I52" i="51"/>
  <c r="J52" i="51"/>
  <c r="K52" i="51"/>
  <c r="H53" i="51"/>
  <c r="I53" i="51"/>
  <c r="J53" i="51"/>
  <c r="K53" i="51"/>
  <c r="H54" i="51"/>
  <c r="I54" i="51"/>
  <c r="J54" i="51"/>
  <c r="K54" i="51"/>
  <c r="H55" i="51"/>
  <c r="I55" i="51"/>
  <c r="J55" i="51"/>
  <c r="K55" i="51"/>
  <c r="H56" i="51"/>
  <c r="I56" i="51"/>
  <c r="J56" i="51"/>
  <c r="K56" i="51"/>
  <c r="H57" i="51"/>
  <c r="I57" i="51"/>
  <c r="J57" i="51"/>
  <c r="K57" i="51"/>
  <c r="H58" i="51"/>
  <c r="I58" i="51"/>
  <c r="J58" i="51"/>
  <c r="K58" i="51"/>
  <c r="H59" i="51"/>
  <c r="I59" i="51"/>
  <c r="J59" i="51"/>
  <c r="K59" i="51"/>
  <c r="H60" i="51"/>
  <c r="I60" i="51"/>
  <c r="J60" i="51"/>
  <c r="K60" i="51"/>
  <c r="H61" i="51"/>
  <c r="I61" i="51"/>
  <c r="J61" i="51"/>
  <c r="K61" i="51"/>
  <c r="H62" i="51"/>
  <c r="I62" i="51"/>
  <c r="J62" i="51"/>
  <c r="K62" i="51"/>
  <c r="H63" i="51"/>
  <c r="I63" i="51"/>
  <c r="J63" i="51"/>
  <c r="K63" i="51"/>
  <c r="H64" i="51"/>
  <c r="I64" i="51"/>
  <c r="J64" i="51"/>
  <c r="K64" i="51"/>
  <c r="H65" i="51"/>
  <c r="I65" i="51"/>
  <c r="J65" i="51"/>
  <c r="K65" i="51"/>
  <c r="H66" i="51"/>
  <c r="I66" i="51"/>
  <c r="J66" i="51"/>
  <c r="K66" i="51"/>
  <c r="H67" i="51"/>
  <c r="I67" i="51"/>
  <c r="J67" i="51"/>
  <c r="K67" i="51"/>
  <c r="H68" i="51"/>
  <c r="I68" i="51"/>
  <c r="J68" i="51"/>
  <c r="K68" i="51"/>
  <c r="H69" i="51"/>
  <c r="I69" i="51"/>
  <c r="J69" i="51"/>
  <c r="K69" i="51"/>
  <c r="H70" i="51"/>
  <c r="I70" i="51"/>
  <c r="J70" i="51"/>
  <c r="K70" i="51"/>
  <c r="H71" i="51"/>
  <c r="I71" i="51"/>
  <c r="J71" i="51"/>
  <c r="K71" i="51"/>
  <c r="H72" i="51"/>
  <c r="I72" i="51"/>
  <c r="J72" i="51"/>
  <c r="K72" i="51"/>
  <c r="H73" i="51"/>
  <c r="I73" i="51"/>
  <c r="J73" i="51"/>
  <c r="K73" i="51"/>
  <c r="H74" i="51"/>
  <c r="I74" i="51"/>
  <c r="J74" i="51"/>
  <c r="K74" i="51"/>
  <c r="H75" i="51"/>
  <c r="I75" i="51"/>
  <c r="J75" i="51"/>
  <c r="K75" i="51"/>
  <c r="H76" i="51"/>
  <c r="I76" i="51"/>
  <c r="J76" i="51"/>
  <c r="K76" i="51"/>
  <c r="H77" i="51"/>
  <c r="I77" i="51"/>
  <c r="J77" i="51"/>
  <c r="K77" i="51"/>
  <c r="H78" i="51"/>
  <c r="I78" i="51"/>
  <c r="J78" i="51"/>
  <c r="K78" i="51"/>
  <c r="H79" i="51"/>
  <c r="I79" i="51"/>
  <c r="J79" i="51"/>
  <c r="K79" i="51"/>
  <c r="H80" i="51"/>
  <c r="I80" i="51"/>
  <c r="J80" i="51"/>
  <c r="K80" i="51"/>
  <c r="H81" i="51"/>
  <c r="I81" i="51"/>
  <c r="J81" i="51"/>
  <c r="K81" i="51"/>
  <c r="H82" i="51"/>
  <c r="I82" i="51"/>
  <c r="J82" i="51"/>
  <c r="K82" i="51"/>
  <c r="H83" i="51"/>
  <c r="I83" i="51"/>
  <c r="J83" i="51"/>
  <c r="K83" i="51"/>
  <c r="H84" i="51"/>
  <c r="I84" i="51"/>
  <c r="J84" i="51"/>
  <c r="K84" i="51"/>
  <c r="H85" i="51"/>
  <c r="I85" i="51"/>
  <c r="J85" i="51"/>
  <c r="K85" i="51"/>
  <c r="H86" i="51"/>
  <c r="I86" i="51"/>
  <c r="J86" i="51"/>
  <c r="K86" i="51"/>
  <c r="H87" i="51"/>
  <c r="I87" i="51"/>
  <c r="J87" i="51"/>
  <c r="K87" i="51"/>
  <c r="H88" i="51"/>
  <c r="I88" i="51"/>
  <c r="J88" i="51"/>
  <c r="K88" i="51"/>
  <c r="H89" i="51"/>
  <c r="I89" i="51"/>
  <c r="J89" i="51"/>
  <c r="K89" i="51"/>
  <c r="H90" i="51"/>
  <c r="I90" i="51"/>
  <c r="J90" i="51"/>
  <c r="K90" i="51"/>
  <c r="H91" i="51"/>
  <c r="I91" i="51"/>
  <c r="J91" i="51"/>
  <c r="K91" i="51"/>
  <c r="H92" i="51"/>
  <c r="I92" i="51"/>
  <c r="J92" i="51"/>
  <c r="K92" i="51"/>
  <c r="H93" i="51"/>
  <c r="I93" i="51"/>
  <c r="J93" i="51"/>
  <c r="K93" i="51"/>
  <c r="H94" i="51"/>
  <c r="I94" i="51"/>
  <c r="J94" i="51"/>
  <c r="K94" i="51"/>
  <c r="H95" i="51"/>
  <c r="I95" i="51"/>
  <c r="J95" i="51"/>
  <c r="K95" i="51"/>
  <c r="H96" i="51"/>
  <c r="I96" i="51"/>
  <c r="J96" i="51"/>
  <c r="K96" i="51"/>
  <c r="H97" i="51"/>
  <c r="I97" i="51"/>
  <c r="J97" i="51"/>
  <c r="K97" i="51"/>
  <c r="H98" i="51"/>
  <c r="I98" i="51"/>
  <c r="J98" i="51"/>
  <c r="K98" i="51"/>
  <c r="H99" i="51"/>
  <c r="I99" i="51"/>
  <c r="J99" i="51"/>
  <c r="K99" i="51"/>
  <c r="H100" i="51"/>
  <c r="I100" i="51"/>
  <c r="J100" i="51"/>
  <c r="K100" i="51"/>
  <c r="H101" i="51"/>
  <c r="I101" i="51"/>
  <c r="J101" i="51"/>
  <c r="K101" i="51"/>
  <c r="H102" i="51"/>
  <c r="I102" i="51"/>
  <c r="J102" i="51"/>
  <c r="K102" i="51"/>
  <c r="H103" i="51"/>
  <c r="I103" i="51"/>
  <c r="J103" i="51"/>
  <c r="K103" i="51"/>
  <c r="H104" i="51"/>
  <c r="I104" i="51"/>
  <c r="J104" i="51"/>
  <c r="K104" i="51"/>
  <c r="H105" i="51"/>
  <c r="I105" i="51"/>
  <c r="J105" i="51"/>
  <c r="K105" i="51"/>
  <c r="H106" i="51"/>
  <c r="I106" i="51"/>
  <c r="J106" i="51"/>
  <c r="K106" i="51"/>
  <c r="H107" i="51"/>
  <c r="I107" i="51"/>
  <c r="J107" i="51"/>
  <c r="K107" i="51"/>
  <c r="H108" i="51"/>
  <c r="I108" i="51"/>
  <c r="J108" i="51"/>
  <c r="K108" i="51"/>
  <c r="H109" i="51"/>
  <c r="I109" i="51"/>
  <c r="J109" i="51"/>
  <c r="K109" i="51"/>
  <c r="H110" i="51"/>
  <c r="I110" i="51"/>
  <c r="J110" i="51"/>
  <c r="K110" i="51"/>
  <c r="H111" i="51"/>
  <c r="I111" i="51"/>
  <c r="J111" i="51"/>
  <c r="K111" i="51"/>
  <c r="H112" i="51"/>
  <c r="I112" i="51"/>
  <c r="J112" i="51"/>
  <c r="K112" i="51"/>
  <c r="H113" i="51"/>
  <c r="I113" i="51"/>
  <c r="J113" i="51"/>
  <c r="K113" i="51"/>
  <c r="H114" i="51"/>
  <c r="I114" i="51"/>
  <c r="J114" i="51"/>
  <c r="K114" i="51"/>
  <c r="H115" i="51"/>
  <c r="I115" i="51"/>
  <c r="J115" i="51"/>
  <c r="K115" i="51"/>
  <c r="H116" i="51"/>
  <c r="I116" i="51"/>
  <c r="J116" i="51"/>
  <c r="K116" i="51"/>
  <c r="H117" i="51"/>
  <c r="I117" i="51"/>
  <c r="J117" i="51"/>
  <c r="K117" i="51"/>
  <c r="H118" i="51"/>
  <c r="I118" i="51"/>
  <c r="J118" i="51"/>
  <c r="K118" i="51"/>
  <c r="H119" i="51"/>
  <c r="I119" i="51"/>
  <c r="J119" i="51"/>
  <c r="K119" i="51"/>
  <c r="H120" i="51"/>
  <c r="I120" i="51"/>
  <c r="J120" i="51"/>
  <c r="K120" i="51"/>
  <c r="H121" i="51"/>
  <c r="I121" i="51"/>
  <c r="J121" i="51"/>
  <c r="K121" i="51"/>
  <c r="H122" i="51"/>
  <c r="I122" i="51"/>
  <c r="J122" i="51"/>
  <c r="K122" i="51"/>
  <c r="H123" i="51"/>
  <c r="I123" i="51"/>
  <c r="J123" i="51"/>
  <c r="K123" i="51"/>
  <c r="H124" i="51"/>
  <c r="I124" i="51"/>
  <c r="J124" i="51"/>
  <c r="K124" i="51"/>
  <c r="H125" i="51"/>
  <c r="I125" i="51"/>
  <c r="J125" i="51"/>
  <c r="K125" i="51"/>
  <c r="H126" i="51"/>
  <c r="I126" i="51"/>
  <c r="J126" i="51"/>
  <c r="K126" i="51"/>
  <c r="H127" i="51"/>
  <c r="I127" i="51"/>
  <c r="J127" i="51"/>
  <c r="K127" i="51"/>
  <c r="H128" i="51"/>
  <c r="I128" i="51"/>
  <c r="J128" i="51"/>
  <c r="K128" i="51"/>
  <c r="H129" i="51"/>
  <c r="I129" i="51"/>
  <c r="J129" i="51"/>
  <c r="K129" i="51"/>
  <c r="H130" i="51"/>
  <c r="I130" i="51"/>
  <c r="J130" i="51"/>
  <c r="K130" i="51"/>
  <c r="H131" i="51"/>
  <c r="I131" i="51"/>
  <c r="J131" i="51"/>
  <c r="K131" i="51"/>
  <c r="H132" i="51"/>
  <c r="I132" i="51"/>
  <c r="J132" i="51"/>
  <c r="K132" i="51"/>
  <c r="H133" i="51"/>
  <c r="I133" i="51"/>
  <c r="J133" i="51"/>
  <c r="K133" i="51"/>
  <c r="H134" i="51"/>
  <c r="I134" i="51"/>
  <c r="J134" i="51"/>
  <c r="K134" i="51"/>
  <c r="H135" i="51"/>
  <c r="I135" i="51"/>
  <c r="J135" i="51"/>
  <c r="K135" i="51"/>
  <c r="H136" i="51"/>
  <c r="I136" i="51"/>
  <c r="J136" i="51"/>
  <c r="K136" i="51"/>
  <c r="H137" i="51"/>
  <c r="I137" i="51"/>
  <c r="J137" i="51"/>
  <c r="K137" i="51"/>
  <c r="H138" i="51"/>
  <c r="I138" i="51"/>
  <c r="J138" i="51"/>
  <c r="K138" i="51"/>
  <c r="H139" i="51"/>
  <c r="I139" i="51"/>
  <c r="J139" i="51"/>
  <c r="K139" i="51"/>
  <c r="H140" i="51"/>
  <c r="I140" i="51"/>
  <c r="J140" i="51"/>
  <c r="K140" i="51"/>
  <c r="H141" i="51"/>
  <c r="I141" i="51"/>
  <c r="J141" i="51"/>
  <c r="K141" i="51"/>
  <c r="H142" i="51"/>
  <c r="I142" i="51"/>
  <c r="J142" i="51"/>
  <c r="K142" i="51"/>
  <c r="H143" i="51"/>
  <c r="I143" i="51"/>
  <c r="J143" i="51"/>
  <c r="K143" i="51"/>
  <c r="H144" i="51"/>
  <c r="I144" i="51"/>
  <c r="J144" i="51"/>
  <c r="K144" i="51"/>
  <c r="H145" i="51"/>
  <c r="I145" i="51"/>
  <c r="J145" i="51"/>
  <c r="K145" i="51"/>
  <c r="H146" i="51"/>
  <c r="I146" i="51"/>
  <c r="J146" i="51"/>
  <c r="K146" i="51"/>
  <c r="H147" i="51"/>
  <c r="I147" i="51"/>
  <c r="J147" i="51"/>
  <c r="K147" i="51"/>
  <c r="H148" i="51"/>
  <c r="I148" i="51"/>
  <c r="J148" i="51"/>
  <c r="K148" i="51"/>
  <c r="H149" i="51"/>
  <c r="I149" i="51"/>
  <c r="J149" i="51"/>
  <c r="K149" i="51"/>
  <c r="H150" i="51"/>
  <c r="I150" i="51"/>
  <c r="J150" i="51"/>
  <c r="K150" i="51"/>
  <c r="H151" i="51"/>
  <c r="I151" i="51"/>
  <c r="J151" i="51"/>
  <c r="K151" i="51"/>
  <c r="H152" i="51"/>
  <c r="I152" i="51"/>
  <c r="J152" i="51"/>
  <c r="K152" i="51"/>
  <c r="H153" i="51"/>
  <c r="I153" i="51"/>
  <c r="J153" i="51"/>
  <c r="K153" i="51"/>
  <c r="H154" i="51"/>
  <c r="I154" i="51"/>
  <c r="J154" i="51"/>
  <c r="K154" i="51"/>
  <c r="H155" i="51"/>
  <c r="I155" i="51"/>
  <c r="J155" i="51"/>
  <c r="K155" i="51"/>
  <c r="H156" i="51"/>
  <c r="I156" i="51"/>
  <c r="J156" i="51"/>
  <c r="K156" i="51"/>
  <c r="H157" i="51"/>
  <c r="I157" i="51"/>
  <c r="J157" i="51"/>
  <c r="K157" i="51"/>
  <c r="H158" i="51"/>
  <c r="I158" i="51"/>
  <c r="J158" i="51"/>
  <c r="K158" i="51"/>
  <c r="H159" i="51"/>
  <c r="I159" i="51"/>
  <c r="J159" i="51"/>
  <c r="K159" i="51"/>
  <c r="H160" i="51"/>
  <c r="I160" i="51"/>
  <c r="J160" i="51"/>
  <c r="K160" i="51"/>
  <c r="H161" i="51"/>
  <c r="I161" i="51"/>
  <c r="J161" i="51"/>
  <c r="K161" i="51"/>
  <c r="H162" i="51"/>
  <c r="I162" i="51"/>
  <c r="J162" i="51"/>
  <c r="K162" i="51"/>
  <c r="H163" i="51"/>
  <c r="I163" i="51"/>
  <c r="J163" i="51"/>
  <c r="K163" i="51"/>
  <c r="H164" i="51"/>
  <c r="I164" i="51"/>
  <c r="J164" i="51"/>
  <c r="K164" i="51"/>
  <c r="H165" i="51"/>
  <c r="I165" i="51"/>
  <c r="J165" i="51"/>
  <c r="K165" i="51"/>
  <c r="H166" i="51"/>
  <c r="I166" i="51"/>
  <c r="J166" i="51"/>
  <c r="K166" i="51"/>
  <c r="H167" i="51"/>
  <c r="I167" i="51"/>
  <c r="J167" i="51"/>
  <c r="K167" i="51"/>
  <c r="H168" i="51"/>
  <c r="I168" i="51"/>
  <c r="J168" i="51"/>
  <c r="K168" i="51"/>
  <c r="H169" i="51"/>
  <c r="I169" i="51"/>
  <c r="J169" i="51"/>
  <c r="K169" i="51"/>
  <c r="H170" i="51"/>
  <c r="I170" i="51"/>
  <c r="J170" i="51"/>
  <c r="K170" i="51"/>
  <c r="H171" i="51"/>
  <c r="I171" i="51"/>
  <c r="J171" i="51"/>
  <c r="K171" i="51"/>
  <c r="H172" i="51"/>
  <c r="I172" i="51"/>
  <c r="J172" i="51"/>
  <c r="K172" i="51"/>
  <c r="H173" i="51"/>
  <c r="I173" i="51"/>
  <c r="J173" i="51"/>
  <c r="K173" i="51"/>
  <c r="H174" i="51"/>
  <c r="I174" i="51"/>
  <c r="J174" i="51"/>
  <c r="K174" i="51"/>
  <c r="H175" i="51"/>
  <c r="I175" i="51"/>
  <c r="J175" i="51"/>
  <c r="K175" i="51"/>
  <c r="H176" i="51"/>
  <c r="I176" i="51"/>
  <c r="J176" i="51"/>
  <c r="K176" i="51"/>
  <c r="H177" i="51"/>
  <c r="I177" i="51"/>
  <c r="J177" i="51"/>
  <c r="K177" i="51"/>
  <c r="H178" i="51"/>
  <c r="I178" i="51"/>
  <c r="J178" i="51"/>
  <c r="K178" i="51"/>
  <c r="H179" i="51"/>
  <c r="I179" i="51"/>
  <c r="J179" i="51"/>
  <c r="K179" i="51"/>
  <c r="H180" i="51"/>
  <c r="I180" i="51"/>
  <c r="J180" i="51"/>
  <c r="K180" i="51"/>
  <c r="H181" i="51"/>
  <c r="I181" i="51"/>
  <c r="J181" i="51"/>
  <c r="K181" i="51"/>
  <c r="H182" i="51"/>
  <c r="I182" i="51"/>
  <c r="J182" i="51"/>
  <c r="K182" i="51"/>
  <c r="H183" i="51"/>
  <c r="I183" i="51"/>
  <c r="J183" i="51"/>
  <c r="K183" i="51"/>
  <c r="H184" i="51"/>
  <c r="I184" i="51"/>
  <c r="J184" i="51"/>
  <c r="K184" i="51"/>
  <c r="H185" i="51"/>
  <c r="I185" i="51"/>
  <c r="J185" i="51"/>
  <c r="K185" i="51"/>
  <c r="H186" i="51"/>
  <c r="I186" i="51"/>
  <c r="J186" i="51"/>
  <c r="K186" i="51"/>
  <c r="H187" i="51"/>
  <c r="I187" i="51"/>
  <c r="J187" i="51"/>
  <c r="K187" i="51"/>
  <c r="H188" i="51"/>
  <c r="I188" i="51"/>
  <c r="J188" i="51"/>
  <c r="K188" i="51"/>
  <c r="H189" i="51"/>
  <c r="I189" i="51"/>
  <c r="J189" i="51"/>
  <c r="K189" i="51"/>
  <c r="H190" i="51"/>
  <c r="I190" i="51"/>
  <c r="J190" i="51"/>
  <c r="K190" i="51"/>
  <c r="H191" i="51"/>
  <c r="I191" i="51"/>
  <c r="J191" i="51"/>
  <c r="K191" i="51"/>
  <c r="X33" i="41"/>
  <c r="X34" i="41"/>
  <c r="X35" i="41"/>
  <c r="X36" i="41"/>
  <c r="X37" i="41"/>
  <c r="X38" i="41"/>
  <c r="X39" i="41"/>
  <c r="X40" i="41"/>
  <c r="X41" i="41"/>
  <c r="X42" i="41"/>
  <c r="X43" i="41"/>
  <c r="X44" i="41"/>
  <c r="X45" i="41"/>
  <c r="X46" i="41"/>
  <c r="X47" i="41"/>
  <c r="X48" i="41"/>
  <c r="X49" i="41"/>
  <c r="X50" i="41"/>
  <c r="X51" i="41"/>
  <c r="X52" i="41"/>
  <c r="X53" i="41"/>
  <c r="X54" i="41"/>
  <c r="X55" i="41"/>
  <c r="X56" i="41"/>
  <c r="X57" i="41"/>
  <c r="X58" i="41"/>
  <c r="X59" i="41"/>
  <c r="X60" i="41"/>
  <c r="X61" i="41"/>
  <c r="X62" i="41"/>
  <c r="X63" i="41"/>
  <c r="X64" i="41"/>
  <c r="X65" i="41"/>
  <c r="X66" i="41"/>
  <c r="X67" i="41"/>
  <c r="X68" i="41"/>
  <c r="X69" i="41"/>
  <c r="X70" i="41"/>
  <c r="X71" i="41"/>
  <c r="X72" i="41"/>
  <c r="X73" i="41"/>
  <c r="X74" i="41"/>
  <c r="X75" i="41"/>
  <c r="X76" i="41"/>
  <c r="X77" i="41"/>
  <c r="X78" i="41"/>
  <c r="X79" i="41"/>
  <c r="X80" i="41"/>
  <c r="X81" i="41"/>
  <c r="X82" i="41"/>
  <c r="X83" i="41"/>
  <c r="X84" i="41"/>
  <c r="X85" i="41"/>
  <c r="X86" i="41"/>
  <c r="X87" i="41"/>
  <c r="X88" i="41"/>
  <c r="X89" i="41"/>
  <c r="X90" i="41"/>
  <c r="X91" i="41"/>
  <c r="X92" i="41"/>
  <c r="X93" i="41"/>
  <c r="X94" i="41"/>
  <c r="X95" i="41"/>
  <c r="X96" i="41"/>
  <c r="X97" i="41"/>
  <c r="X98" i="41"/>
  <c r="X99" i="41"/>
  <c r="X100" i="41"/>
  <c r="X101" i="41"/>
  <c r="X102" i="41"/>
  <c r="X103" i="41"/>
  <c r="X104" i="41"/>
  <c r="X105" i="41"/>
  <c r="X106" i="41"/>
  <c r="X107" i="41"/>
  <c r="X108" i="41"/>
  <c r="X109" i="41"/>
  <c r="X110" i="41"/>
  <c r="X111" i="41"/>
  <c r="X112" i="41"/>
  <c r="X113" i="41"/>
  <c r="H33" i="41"/>
  <c r="L143" i="51" l="1"/>
  <c r="L35" i="51"/>
  <c r="L157" i="51"/>
  <c r="L179" i="51"/>
  <c r="L165" i="51"/>
  <c r="L169" i="51"/>
  <c r="L190" i="51"/>
  <c r="L187" i="51"/>
  <c r="L184" i="51"/>
  <c r="L181" i="51"/>
  <c r="L180" i="51"/>
  <c r="L107" i="51"/>
  <c r="L71" i="51"/>
  <c r="L59" i="51"/>
  <c r="L57" i="51"/>
  <c r="L56" i="51"/>
  <c r="L53" i="51"/>
  <c r="L96" i="51"/>
  <c r="L72" i="51"/>
  <c r="L138" i="51"/>
  <c r="L135" i="51"/>
  <c r="L111" i="51"/>
  <c r="L191" i="51"/>
  <c r="L119" i="51"/>
  <c r="L154" i="51"/>
  <c r="L151" i="51"/>
  <c r="L145" i="51"/>
  <c r="L133" i="51"/>
  <c r="L109" i="51"/>
  <c r="L102" i="51"/>
  <c r="L99" i="51"/>
  <c r="L75" i="51"/>
  <c r="L60" i="51"/>
  <c r="L36" i="51"/>
  <c r="L32" i="51"/>
  <c r="L189" i="51"/>
  <c r="L121" i="51"/>
  <c r="L118" i="51"/>
  <c r="L115" i="51"/>
  <c r="L112" i="51"/>
  <c r="L97" i="51"/>
  <c r="L73" i="51"/>
  <c r="L63" i="51"/>
  <c r="L39" i="51"/>
  <c r="L176" i="51"/>
  <c r="L167" i="51"/>
  <c r="L164" i="51"/>
  <c r="L161" i="51"/>
  <c r="L155" i="51"/>
  <c r="L153" i="51"/>
  <c r="L85" i="51"/>
  <c r="L82" i="51"/>
  <c r="L79" i="51"/>
  <c r="L76" i="51"/>
  <c r="L37" i="51"/>
  <c r="L168" i="51"/>
  <c r="L131" i="51"/>
  <c r="L129" i="51"/>
  <c r="L128" i="51"/>
  <c r="L125" i="51"/>
  <c r="L61" i="51"/>
  <c r="L49" i="51"/>
  <c r="L47" i="51"/>
  <c r="L46" i="51"/>
  <c r="L43" i="51"/>
  <c r="L40" i="51"/>
  <c r="L174" i="51"/>
  <c r="L171" i="51"/>
  <c r="L150" i="51"/>
  <c r="L147" i="51"/>
  <c r="L132" i="51"/>
  <c r="L108" i="51"/>
  <c r="L104" i="51"/>
  <c r="L95" i="51"/>
  <c r="L93" i="51"/>
  <c r="L92" i="51"/>
  <c r="L89" i="51"/>
  <c r="L83" i="51"/>
  <c r="L81" i="51"/>
  <c r="L182" i="51"/>
  <c r="L172" i="51"/>
  <c r="L146" i="51"/>
  <c r="L110" i="51"/>
  <c r="L74" i="51"/>
  <c r="L54" i="51"/>
  <c r="L38" i="51"/>
  <c r="L188" i="51"/>
  <c r="L185" i="51"/>
  <c r="L178" i="51"/>
  <c r="L175" i="51"/>
  <c r="L162" i="51"/>
  <c r="L159" i="51"/>
  <c r="L156" i="51"/>
  <c r="L152" i="51"/>
  <c r="L149" i="51"/>
  <c r="L142" i="51"/>
  <c r="L139" i="51"/>
  <c r="L136" i="51"/>
  <c r="L126" i="51"/>
  <c r="L123" i="51"/>
  <c r="L120" i="51"/>
  <c r="L117" i="51"/>
  <c r="L116" i="51"/>
  <c r="L113" i="51"/>
  <c r="L106" i="51"/>
  <c r="L103" i="51"/>
  <c r="L100" i="51"/>
  <c r="L90" i="51"/>
  <c r="L87" i="51"/>
  <c r="L84" i="51"/>
  <c r="L80" i="51"/>
  <c r="L77" i="51"/>
  <c r="L70" i="51"/>
  <c r="L67" i="51"/>
  <c r="L64" i="51"/>
  <c r="L51" i="51"/>
  <c r="L48" i="51"/>
  <c r="L45" i="51"/>
  <c r="L44" i="51"/>
  <c r="L41" i="51"/>
  <c r="L34" i="51"/>
  <c r="L170" i="51"/>
  <c r="L160" i="51"/>
  <c r="L134" i="51"/>
  <c r="L124" i="51"/>
  <c r="L114" i="51"/>
  <c r="L98" i="51"/>
  <c r="L78" i="51"/>
  <c r="L62" i="51"/>
  <c r="L42" i="51"/>
  <c r="L186" i="51"/>
  <c r="L183" i="51"/>
  <c r="L177" i="51"/>
  <c r="L173" i="51"/>
  <c r="L166" i="51"/>
  <c r="L163" i="51"/>
  <c r="L144" i="51"/>
  <c r="L141" i="51"/>
  <c r="L140" i="51"/>
  <c r="L137" i="51"/>
  <c r="L130" i="51"/>
  <c r="L127" i="51"/>
  <c r="L105" i="51"/>
  <c r="L101" i="51"/>
  <c r="L94" i="51"/>
  <c r="L91" i="51"/>
  <c r="L88" i="51"/>
  <c r="L69" i="51"/>
  <c r="L68" i="51"/>
  <c r="L65" i="51"/>
  <c r="L58" i="51"/>
  <c r="L55" i="51"/>
  <c r="L52" i="51"/>
  <c r="L33" i="51"/>
  <c r="L158" i="51"/>
  <c r="L148" i="51"/>
  <c r="L122" i="51"/>
  <c r="L86" i="51"/>
  <c r="L66" i="51"/>
  <c r="L50" i="51"/>
  <c r="C23" i="51"/>
  <c r="B23" i="51"/>
  <c r="H34" i="41" l="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A191" i="51" l="1"/>
  <c r="A190" i="51"/>
  <c r="A189" i="51"/>
  <c r="A188" i="51"/>
  <c r="A187" i="51"/>
  <c r="A186" i="51"/>
  <c r="A185" i="51"/>
  <c r="A184" i="51"/>
  <c r="A183" i="51"/>
  <c r="A182" i="51"/>
  <c r="A181" i="51"/>
  <c r="A180" i="51"/>
  <c r="A179" i="51"/>
  <c r="A178" i="51"/>
  <c r="A177" i="51"/>
  <c r="A176" i="51"/>
  <c r="A175" i="51"/>
  <c r="A174" i="51"/>
  <c r="A173" i="51"/>
  <c r="A172" i="51"/>
  <c r="A171" i="51"/>
  <c r="A170" i="51"/>
  <c r="A169" i="51"/>
  <c r="A168" i="51"/>
  <c r="A167" i="51"/>
  <c r="A166" i="51"/>
  <c r="A165" i="51"/>
  <c r="A164" i="51"/>
  <c r="A163" i="51"/>
  <c r="A162" i="51"/>
  <c r="A161" i="51"/>
  <c r="A160" i="51"/>
  <c r="A159" i="51"/>
  <c r="A158" i="51"/>
  <c r="A157" i="51"/>
  <c r="A156" i="51"/>
  <c r="A155" i="51"/>
  <c r="A154" i="51"/>
  <c r="A153" i="51"/>
  <c r="A152" i="51"/>
  <c r="A151" i="51"/>
  <c r="A150" i="51"/>
  <c r="A149" i="51"/>
  <c r="A148" i="51"/>
  <c r="A147" i="51"/>
  <c r="A146" i="51"/>
  <c r="A145" i="51"/>
  <c r="A144" i="51"/>
  <c r="A143" i="51"/>
  <c r="A142" i="51"/>
  <c r="A141" i="5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A114" i="51"/>
  <c r="A113" i="51"/>
  <c r="A112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G5" i="51"/>
  <c r="G47" i="51" s="1"/>
  <c r="F5" i="51"/>
  <c r="E5" i="51"/>
  <c r="D5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4" i="51"/>
  <c r="C25" i="51"/>
  <c r="C26" i="51"/>
  <c r="C27" i="51"/>
  <c r="C28" i="51"/>
  <c r="C29" i="51"/>
  <c r="C30" i="51"/>
  <c r="C31" i="51"/>
  <c r="C32" i="51"/>
  <c r="C33" i="51"/>
  <c r="G33" i="51" s="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C104" i="51"/>
  <c r="C105" i="51"/>
  <c r="C106" i="51"/>
  <c r="C107" i="51"/>
  <c r="C108" i="51"/>
  <c r="C109" i="51"/>
  <c r="C110" i="51"/>
  <c r="C111" i="51"/>
  <c r="C112" i="51"/>
  <c r="C113" i="51"/>
  <c r="C114" i="51"/>
  <c r="C115" i="51"/>
  <c r="C116" i="51"/>
  <c r="C117" i="51"/>
  <c r="C118" i="51"/>
  <c r="C119" i="51"/>
  <c r="C120" i="51"/>
  <c r="C121" i="51"/>
  <c r="C122" i="51"/>
  <c r="C123" i="51"/>
  <c r="C124" i="51"/>
  <c r="C125" i="51"/>
  <c r="C126" i="51"/>
  <c r="C127" i="51"/>
  <c r="C128" i="51"/>
  <c r="C129" i="51"/>
  <c r="C130" i="51"/>
  <c r="C131" i="51"/>
  <c r="C132" i="51"/>
  <c r="C133" i="51"/>
  <c r="C134" i="51"/>
  <c r="C135" i="51"/>
  <c r="C136" i="51"/>
  <c r="C137" i="51"/>
  <c r="C138" i="51"/>
  <c r="C139" i="51"/>
  <c r="C140" i="51"/>
  <c r="C141" i="51"/>
  <c r="C142" i="51"/>
  <c r="C143" i="51"/>
  <c r="C144" i="51"/>
  <c r="C145" i="51"/>
  <c r="C146" i="51"/>
  <c r="C147" i="51"/>
  <c r="C148" i="51"/>
  <c r="C149" i="51"/>
  <c r="C150" i="51"/>
  <c r="C151" i="51"/>
  <c r="C152" i="51"/>
  <c r="C153" i="51"/>
  <c r="C154" i="51"/>
  <c r="C155" i="51"/>
  <c r="C156" i="51"/>
  <c r="C157" i="51"/>
  <c r="C158" i="51"/>
  <c r="C159" i="51"/>
  <c r="C160" i="51"/>
  <c r="C161" i="51"/>
  <c r="C162" i="51"/>
  <c r="C163" i="51"/>
  <c r="C164" i="51"/>
  <c r="C165" i="51"/>
  <c r="C166" i="51"/>
  <c r="C167" i="51"/>
  <c r="C168" i="51"/>
  <c r="C169" i="51"/>
  <c r="C170" i="51"/>
  <c r="C171" i="51"/>
  <c r="C172" i="51"/>
  <c r="C173" i="51"/>
  <c r="C174" i="51"/>
  <c r="C175" i="51"/>
  <c r="C176" i="51"/>
  <c r="C177" i="51"/>
  <c r="C178" i="51"/>
  <c r="C179" i="51"/>
  <c r="C180" i="51"/>
  <c r="C181" i="51"/>
  <c r="C182" i="51"/>
  <c r="C183" i="51"/>
  <c r="C184" i="51"/>
  <c r="C185" i="51"/>
  <c r="C186" i="51"/>
  <c r="C187" i="51"/>
  <c r="C188" i="51"/>
  <c r="C189" i="51"/>
  <c r="C190" i="51"/>
  <c r="C191" i="51"/>
  <c r="C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4" i="51"/>
  <c r="B25" i="51"/>
  <c r="B26" i="51"/>
  <c r="B27" i="51"/>
  <c r="D27" i="51" s="1"/>
  <c r="H27" i="51" s="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B104" i="51"/>
  <c r="B105" i="51"/>
  <c r="B106" i="51"/>
  <c r="B107" i="51"/>
  <c r="B108" i="51"/>
  <c r="B109" i="51"/>
  <c r="B110" i="51"/>
  <c r="B111" i="51"/>
  <c r="B112" i="51"/>
  <c r="B113" i="51"/>
  <c r="B114" i="51"/>
  <c r="B115" i="51"/>
  <c r="B116" i="51"/>
  <c r="B117" i="51"/>
  <c r="B118" i="51"/>
  <c r="B119" i="51"/>
  <c r="B120" i="51"/>
  <c r="B121" i="51"/>
  <c r="B122" i="51"/>
  <c r="B123" i="51"/>
  <c r="B124" i="51"/>
  <c r="B125" i="51"/>
  <c r="B126" i="51"/>
  <c r="B127" i="51"/>
  <c r="B128" i="51"/>
  <c r="B129" i="51"/>
  <c r="B130" i="51"/>
  <c r="B131" i="51"/>
  <c r="B132" i="51"/>
  <c r="B133" i="51"/>
  <c r="B134" i="51"/>
  <c r="B135" i="51"/>
  <c r="B136" i="51"/>
  <c r="B137" i="51"/>
  <c r="B138" i="51"/>
  <c r="B139" i="51"/>
  <c r="B140" i="51"/>
  <c r="B141" i="51"/>
  <c r="B142" i="51"/>
  <c r="B143" i="51"/>
  <c r="B144" i="51"/>
  <c r="B145" i="51"/>
  <c r="B146" i="51"/>
  <c r="B147" i="51"/>
  <c r="B148" i="51"/>
  <c r="B149" i="51"/>
  <c r="B150" i="51"/>
  <c r="B151" i="51"/>
  <c r="B152" i="51"/>
  <c r="B153" i="51"/>
  <c r="B154" i="51"/>
  <c r="B155" i="51"/>
  <c r="B156" i="51"/>
  <c r="B157" i="51"/>
  <c r="B158" i="51"/>
  <c r="B159" i="51"/>
  <c r="B160" i="51"/>
  <c r="B161" i="51"/>
  <c r="B162" i="51"/>
  <c r="B163" i="51"/>
  <c r="B164" i="51"/>
  <c r="B165" i="51"/>
  <c r="B166" i="51"/>
  <c r="B167" i="51"/>
  <c r="B168" i="51"/>
  <c r="B169" i="51"/>
  <c r="B170" i="51"/>
  <c r="B171" i="51"/>
  <c r="B172" i="51"/>
  <c r="B173" i="51"/>
  <c r="B174" i="51"/>
  <c r="B175" i="51"/>
  <c r="B176" i="51"/>
  <c r="B177" i="51"/>
  <c r="B178" i="51"/>
  <c r="B179" i="51"/>
  <c r="B180" i="51"/>
  <c r="B181" i="51"/>
  <c r="B182" i="51"/>
  <c r="B183" i="51"/>
  <c r="B184" i="51"/>
  <c r="B185" i="51"/>
  <c r="B186" i="51"/>
  <c r="B187" i="51"/>
  <c r="B188" i="51"/>
  <c r="B189" i="51"/>
  <c r="B190" i="51"/>
  <c r="B191" i="51"/>
  <c r="B6" i="51"/>
  <c r="T6" i="51"/>
  <c r="J5" i="51"/>
  <c r="Q5" i="51" s="1"/>
  <c r="H5" i="51"/>
  <c r="O5" i="51" s="1"/>
  <c r="F29" i="51" l="1"/>
  <c r="J29" i="51" s="1"/>
  <c r="G27" i="51"/>
  <c r="K27" i="51" s="1"/>
  <c r="D13" i="51"/>
  <c r="D6" i="51"/>
  <c r="G35" i="51"/>
  <c r="G31" i="51"/>
  <c r="K31" i="51" s="1"/>
  <c r="G57" i="51"/>
  <c r="G41" i="51"/>
  <c r="E25" i="51"/>
  <c r="I25" i="51" s="1"/>
  <c r="K5" i="51"/>
  <c r="R5" i="51" s="1"/>
  <c r="F8" i="51"/>
  <c r="G29" i="51"/>
  <c r="K29" i="51" s="1"/>
  <c r="G39" i="51"/>
  <c r="G23" i="51"/>
  <c r="D7" i="51"/>
  <c r="F38" i="51"/>
  <c r="G22" i="51"/>
  <c r="D34" i="51"/>
  <c r="G25" i="51"/>
  <c r="K25" i="51" s="1"/>
  <c r="G6" i="51"/>
  <c r="G85" i="51"/>
  <c r="G69" i="51"/>
  <c r="G37" i="51"/>
  <c r="F21" i="51"/>
  <c r="F20" i="51"/>
  <c r="G19" i="51"/>
  <c r="E19" i="51"/>
  <c r="F16" i="51"/>
  <c r="G11" i="51"/>
  <c r="G10" i="51"/>
  <c r="F7" i="51"/>
  <c r="E6" i="51"/>
  <c r="G40" i="51"/>
  <c r="G14" i="51"/>
  <c r="F15" i="51"/>
  <c r="G13" i="51"/>
  <c r="D9" i="51"/>
  <c r="F10" i="51"/>
  <c r="F6" i="51"/>
  <c r="E10" i="51"/>
  <c r="E7" i="51"/>
  <c r="E23" i="51"/>
  <c r="E33" i="51"/>
  <c r="E11" i="51"/>
  <c r="I5" i="51"/>
  <c r="P5" i="51" s="1"/>
  <c r="G7" i="51"/>
  <c r="G16" i="51"/>
  <c r="G21" i="51"/>
  <c r="G26" i="51"/>
  <c r="K26" i="51" s="1"/>
  <c r="G12" i="51"/>
  <c r="F12" i="51"/>
  <c r="G18" i="51"/>
  <c r="G24" i="51"/>
  <c r="E190" i="51"/>
  <c r="E187" i="51"/>
  <c r="E188" i="51"/>
  <c r="E184" i="51"/>
  <c r="E175" i="51"/>
  <c r="E169" i="51"/>
  <c r="E158" i="51"/>
  <c r="E150" i="51"/>
  <c r="E146" i="51"/>
  <c r="E142" i="51"/>
  <c r="E170" i="51"/>
  <c r="E162" i="51"/>
  <c r="E157" i="51"/>
  <c r="E152" i="51"/>
  <c r="E148" i="51"/>
  <c r="E139" i="51"/>
  <c r="E161" i="51"/>
  <c r="E156" i="51"/>
  <c r="E145" i="51"/>
  <c r="E137" i="51"/>
  <c r="E167" i="51"/>
  <c r="E151" i="51"/>
  <c r="E185" i="51"/>
  <c r="E121" i="51"/>
  <c r="E181" i="51"/>
  <c r="E126" i="51"/>
  <c r="E115" i="51"/>
  <c r="E101" i="51"/>
  <c r="E163" i="51"/>
  <c r="E136" i="51"/>
  <c r="E125" i="51"/>
  <c r="E119" i="51"/>
  <c r="E103" i="51"/>
  <c r="E144" i="51"/>
  <c r="E140" i="51"/>
  <c r="E133" i="51"/>
  <c r="E118" i="51"/>
  <c r="E128" i="51"/>
  <c r="E109" i="51"/>
  <c r="E106" i="51"/>
  <c r="E92" i="51"/>
  <c r="E68" i="51"/>
  <c r="E44" i="51"/>
  <c r="E132" i="51"/>
  <c r="E127" i="51"/>
  <c r="E104" i="51"/>
  <c r="E100" i="51"/>
  <c r="E86" i="51"/>
  <c r="E80" i="51"/>
  <c r="E50" i="51"/>
  <c r="E74" i="51"/>
  <c r="E73" i="51"/>
  <c r="E72" i="51"/>
  <c r="E65" i="51"/>
  <c r="E62" i="51"/>
  <c r="E56" i="51"/>
  <c r="E48" i="51"/>
  <c r="E95" i="51"/>
  <c r="E93" i="51"/>
  <c r="E75" i="51"/>
  <c r="E66" i="51"/>
  <c r="E174" i="51"/>
  <c r="E120" i="51"/>
  <c r="G8" i="51"/>
  <c r="E9" i="51"/>
  <c r="F11" i="51"/>
  <c r="D14" i="51"/>
  <c r="F169" i="51"/>
  <c r="F175" i="51"/>
  <c r="F191" i="51"/>
  <c r="F189" i="51"/>
  <c r="F188" i="51"/>
  <c r="F157" i="51"/>
  <c r="F162" i="51"/>
  <c r="F152" i="51"/>
  <c r="F139" i="51"/>
  <c r="F187" i="51"/>
  <c r="F161" i="51"/>
  <c r="F156" i="51"/>
  <c r="F145" i="51"/>
  <c r="F137" i="51"/>
  <c r="F171" i="51"/>
  <c r="F167" i="51"/>
  <c r="F151" i="51"/>
  <c r="F141" i="51"/>
  <c r="F176" i="51"/>
  <c r="F181" i="51"/>
  <c r="F163" i="51"/>
  <c r="F127" i="51"/>
  <c r="F158" i="51"/>
  <c r="F125" i="51"/>
  <c r="F133" i="51"/>
  <c r="F129" i="51"/>
  <c r="F113" i="51"/>
  <c r="F100" i="51"/>
  <c r="F179" i="51"/>
  <c r="F164" i="51"/>
  <c r="F146" i="51"/>
  <c r="F128" i="51"/>
  <c r="F109" i="51"/>
  <c r="F106" i="51"/>
  <c r="F150" i="51"/>
  <c r="F121" i="51"/>
  <c r="F99" i="51"/>
  <c r="F86" i="51"/>
  <c r="F74" i="51"/>
  <c r="F66" i="51"/>
  <c r="F131" i="51"/>
  <c r="F126" i="51"/>
  <c r="F98" i="51"/>
  <c r="F80" i="51"/>
  <c r="F50" i="51"/>
  <c r="F92" i="51"/>
  <c r="F62" i="51"/>
  <c r="F56" i="51"/>
  <c r="F48" i="51"/>
  <c r="F153" i="51"/>
  <c r="F93" i="51"/>
  <c r="F75" i="51"/>
  <c r="F67" i="51"/>
  <c r="F52" i="51"/>
  <c r="F114" i="51"/>
  <c r="F87" i="51"/>
  <c r="F68" i="51"/>
  <c r="F49" i="51"/>
  <c r="F134" i="51"/>
  <c r="F115" i="51"/>
  <c r="F96" i="51"/>
  <c r="D8" i="51"/>
  <c r="F9" i="51"/>
  <c r="D12" i="51"/>
  <c r="E14" i="51"/>
  <c r="G15" i="51"/>
  <c r="D16" i="51"/>
  <c r="F18" i="51"/>
  <c r="F19" i="51"/>
  <c r="E22" i="51"/>
  <c r="D25" i="51"/>
  <c r="H25" i="51" s="1"/>
  <c r="F28" i="51"/>
  <c r="J28" i="51" s="1"/>
  <c r="D29" i="51"/>
  <c r="H29" i="51" s="1"/>
  <c r="E31" i="51"/>
  <c r="I31" i="51" s="1"/>
  <c r="D33" i="51"/>
  <c r="F35" i="51"/>
  <c r="F36" i="51"/>
  <c r="E39" i="51"/>
  <c r="E41" i="51"/>
  <c r="E47" i="51"/>
  <c r="E49" i="51"/>
  <c r="F51" i="51"/>
  <c r="G54" i="51"/>
  <c r="F54" i="51"/>
  <c r="E54" i="51"/>
  <c r="D54" i="51"/>
  <c r="D55" i="51"/>
  <c r="D110" i="51"/>
  <c r="G110" i="51"/>
  <c r="F110" i="51"/>
  <c r="E110" i="51"/>
  <c r="G187" i="51"/>
  <c r="G175" i="51"/>
  <c r="G189" i="51"/>
  <c r="G188" i="51"/>
  <c r="G184" i="51"/>
  <c r="G181" i="51"/>
  <c r="G171" i="51"/>
  <c r="G190" i="51"/>
  <c r="G163" i="51"/>
  <c r="G170" i="51"/>
  <c r="G157" i="51"/>
  <c r="G156" i="51"/>
  <c r="G148" i="51"/>
  <c r="G145" i="51"/>
  <c r="G151" i="51"/>
  <c r="G141" i="51"/>
  <c r="G165" i="51"/>
  <c r="G183" i="51"/>
  <c r="G174" i="51"/>
  <c r="G158" i="51"/>
  <c r="G133" i="51"/>
  <c r="G169" i="51"/>
  <c r="G92" i="51"/>
  <c r="G86" i="51"/>
  <c r="G177" i="51"/>
  <c r="G129" i="51"/>
  <c r="G103" i="51"/>
  <c r="G100" i="51"/>
  <c r="G162" i="51"/>
  <c r="G130" i="51"/>
  <c r="G128" i="51"/>
  <c r="G118" i="51"/>
  <c r="G109" i="51"/>
  <c r="G106" i="51"/>
  <c r="G142" i="51"/>
  <c r="G139" i="51"/>
  <c r="G135" i="51"/>
  <c r="G132" i="51"/>
  <c r="G121" i="51"/>
  <c r="G120" i="51"/>
  <c r="G116" i="51"/>
  <c r="G102" i="51"/>
  <c r="G127" i="51"/>
  <c r="G126" i="51"/>
  <c r="G115" i="51"/>
  <c r="G62" i="51"/>
  <c r="G152" i="51"/>
  <c r="G101" i="51"/>
  <c r="G94" i="51"/>
  <c r="G93" i="51"/>
  <c r="G80" i="51"/>
  <c r="G70" i="51"/>
  <c r="G56" i="51"/>
  <c r="G34" i="51"/>
  <c r="G74" i="51"/>
  <c r="G73" i="51"/>
  <c r="G67" i="51"/>
  <c r="G52" i="51"/>
  <c r="G105" i="51"/>
  <c r="G95" i="51"/>
  <c r="G87" i="51"/>
  <c r="G68" i="51"/>
  <c r="G49" i="51"/>
  <c r="G186" i="51"/>
  <c r="G154" i="51"/>
  <c r="G108" i="51"/>
  <c r="G55" i="51"/>
  <c r="G51" i="51"/>
  <c r="G88" i="51"/>
  <c r="G44" i="51"/>
  <c r="E8" i="51"/>
  <c r="G9" i="51"/>
  <c r="D10" i="51"/>
  <c r="F13" i="51"/>
  <c r="F14" i="51"/>
  <c r="E16" i="51"/>
  <c r="D19" i="51"/>
  <c r="F22" i="51"/>
  <c r="D23" i="51"/>
  <c r="G28" i="51"/>
  <c r="K28" i="51" s="1"/>
  <c r="E29" i="51"/>
  <c r="I29" i="51" s="1"/>
  <c r="G32" i="51"/>
  <c r="G36" i="51"/>
  <c r="F39" i="51"/>
  <c r="D41" i="51"/>
  <c r="F44" i="51"/>
  <c r="D49" i="51"/>
  <c r="G50" i="51"/>
  <c r="E51" i="51"/>
  <c r="G53" i="51"/>
  <c r="E55" i="51"/>
  <c r="F57" i="51"/>
  <c r="E69" i="51"/>
  <c r="F70" i="51"/>
  <c r="E76" i="51"/>
  <c r="D76" i="51"/>
  <c r="G76" i="51"/>
  <c r="F76" i="51"/>
  <c r="G77" i="51"/>
  <c r="F78" i="51"/>
  <c r="F79" i="51"/>
  <c r="D96" i="51"/>
  <c r="E116" i="51"/>
  <c r="D17" i="51"/>
  <c r="D21" i="51"/>
  <c r="E27" i="51"/>
  <c r="I27" i="51" s="1"/>
  <c r="E30" i="51"/>
  <c r="I30" i="51" s="1"/>
  <c r="D32" i="51"/>
  <c r="F33" i="51"/>
  <c r="E84" i="51"/>
  <c r="G84" i="51"/>
  <c r="F84" i="51"/>
  <c r="D84" i="51"/>
  <c r="E90" i="51"/>
  <c r="G90" i="51"/>
  <c r="D90" i="51"/>
  <c r="F90" i="51"/>
  <c r="E91" i="51"/>
  <c r="D11" i="51"/>
  <c r="E13" i="51"/>
  <c r="D15" i="51"/>
  <c r="E17" i="51"/>
  <c r="G20" i="51"/>
  <c r="E21" i="51"/>
  <c r="F23" i="51"/>
  <c r="E24" i="51"/>
  <c r="D26" i="51"/>
  <c r="H26" i="51" s="1"/>
  <c r="F27" i="51"/>
  <c r="J27" i="51" s="1"/>
  <c r="D30" i="51"/>
  <c r="H30" i="51" s="1"/>
  <c r="E32" i="51"/>
  <c r="E40" i="51"/>
  <c r="F40" i="51"/>
  <c r="D40" i="51"/>
  <c r="G43" i="51"/>
  <c r="D43" i="51"/>
  <c r="D45" i="51"/>
  <c r="E45" i="51"/>
  <c r="D61" i="51"/>
  <c r="G61" i="51"/>
  <c r="F61" i="51"/>
  <c r="E61" i="51"/>
  <c r="D191" i="51"/>
  <c r="D181" i="51"/>
  <c r="D189" i="51"/>
  <c r="D179" i="51"/>
  <c r="D163" i="51"/>
  <c r="D153" i="51"/>
  <c r="D144" i="51"/>
  <c r="D136" i="51"/>
  <c r="D184" i="51"/>
  <c r="D175" i="51"/>
  <c r="D169" i="51"/>
  <c r="D142" i="51"/>
  <c r="D187" i="51"/>
  <c r="D157" i="51"/>
  <c r="D148" i="51"/>
  <c r="D139" i="51"/>
  <c r="D171" i="51"/>
  <c r="D161" i="51"/>
  <c r="D156" i="51"/>
  <c r="D145" i="51"/>
  <c r="D141" i="51"/>
  <c r="D137" i="51"/>
  <c r="D167" i="51"/>
  <c r="D151" i="51"/>
  <c r="D115" i="51"/>
  <c r="D159" i="51"/>
  <c r="D127" i="51"/>
  <c r="D160" i="51"/>
  <c r="D126" i="51"/>
  <c r="D114" i="51"/>
  <c r="D108" i="51"/>
  <c r="D183" i="51"/>
  <c r="D165" i="51"/>
  <c r="D138" i="51"/>
  <c r="D130" i="51"/>
  <c r="D129" i="51"/>
  <c r="D125" i="51"/>
  <c r="D119" i="51"/>
  <c r="D113" i="51"/>
  <c r="D103" i="51"/>
  <c r="D166" i="51"/>
  <c r="D133" i="51"/>
  <c r="D118" i="51"/>
  <c r="D100" i="51"/>
  <c r="D155" i="51"/>
  <c r="D117" i="51"/>
  <c r="D80" i="51"/>
  <c r="D121" i="51"/>
  <c r="D88" i="51"/>
  <c r="D102" i="51"/>
  <c r="D94" i="51"/>
  <c r="D91" i="51"/>
  <c r="D70" i="51"/>
  <c r="D98" i="51"/>
  <c r="D44" i="51"/>
  <c r="D149" i="51"/>
  <c r="D106" i="51"/>
  <c r="D92" i="51"/>
  <c r="D86" i="51"/>
  <c r="D50" i="51"/>
  <c r="D109" i="51"/>
  <c r="D74" i="51"/>
  <c r="D73" i="51"/>
  <c r="D67" i="51"/>
  <c r="D65" i="51"/>
  <c r="D62" i="51"/>
  <c r="D56" i="51"/>
  <c r="D52" i="51"/>
  <c r="D48" i="51"/>
  <c r="D68" i="51"/>
  <c r="D66" i="51"/>
  <c r="E15" i="51"/>
  <c r="F17" i="51"/>
  <c r="E18" i="51"/>
  <c r="D20" i="51"/>
  <c r="D24" i="51"/>
  <c r="E26" i="51"/>
  <c r="I26" i="51" s="1"/>
  <c r="D28" i="51"/>
  <c r="H28" i="51" s="1"/>
  <c r="F30" i="51"/>
  <c r="J30" i="51" s="1"/>
  <c r="F31" i="51"/>
  <c r="J31" i="51" s="1"/>
  <c r="F32" i="51"/>
  <c r="E34" i="51"/>
  <c r="D35" i="51"/>
  <c r="E36" i="51"/>
  <c r="D37" i="51"/>
  <c r="F37" i="51"/>
  <c r="E38" i="51"/>
  <c r="G38" i="51"/>
  <c r="G42" i="51"/>
  <c r="F42" i="51"/>
  <c r="E42" i="51"/>
  <c r="E43" i="51"/>
  <c r="F45" i="51"/>
  <c r="E46" i="51"/>
  <c r="G46" i="51"/>
  <c r="F46" i="51"/>
  <c r="D46" i="51"/>
  <c r="F60" i="51"/>
  <c r="E82" i="51"/>
  <c r="F82" i="51"/>
  <c r="G82" i="51"/>
  <c r="D82" i="51"/>
  <c r="F88" i="51"/>
  <c r="F94" i="51"/>
  <c r="E12" i="51"/>
  <c r="G17" i="51"/>
  <c r="D18" i="51"/>
  <c r="E20" i="51"/>
  <c r="D22" i="51"/>
  <c r="F24" i="51"/>
  <c r="F25" i="51"/>
  <c r="J25" i="51" s="1"/>
  <c r="F26" i="51"/>
  <c r="J26" i="51" s="1"/>
  <c r="E28" i="51"/>
  <c r="I28" i="51" s="1"/>
  <c r="G30" i="51"/>
  <c r="K30" i="51" s="1"/>
  <c r="D31" i="51"/>
  <c r="H31" i="51" s="1"/>
  <c r="F34" i="51"/>
  <c r="E35" i="51"/>
  <c r="D36" i="51"/>
  <c r="E37" i="51"/>
  <c r="D38" i="51"/>
  <c r="D42" i="51"/>
  <c r="F43" i="51"/>
  <c r="G45" i="51"/>
  <c r="E58" i="51"/>
  <c r="G58" i="51"/>
  <c r="F58" i="51"/>
  <c r="D58" i="51"/>
  <c r="E60" i="51"/>
  <c r="D39" i="51"/>
  <c r="G48" i="51"/>
  <c r="E52" i="51"/>
  <c r="F55" i="51"/>
  <c r="E67" i="51"/>
  <c r="F73" i="51"/>
  <c r="D87" i="51"/>
  <c r="E87" i="51"/>
  <c r="F124" i="51"/>
  <c r="D124" i="51"/>
  <c r="G124" i="51"/>
  <c r="E124" i="51"/>
  <c r="D150" i="51"/>
  <c r="F59" i="51"/>
  <c r="E59" i="51"/>
  <c r="D63" i="51"/>
  <c r="E63" i="51"/>
  <c r="E64" i="51"/>
  <c r="F64" i="51"/>
  <c r="G72" i="51"/>
  <c r="D72" i="51"/>
  <c r="D81" i="51"/>
  <c r="E81" i="51"/>
  <c r="F105" i="51"/>
  <c r="F53" i="51"/>
  <c r="D59" i="51"/>
  <c r="F63" i="51"/>
  <c r="D64" i="51"/>
  <c r="F71" i="51"/>
  <c r="D71" i="51"/>
  <c r="F81" i="51"/>
  <c r="D83" i="51"/>
  <c r="F83" i="51"/>
  <c r="G83" i="51"/>
  <c r="D89" i="51"/>
  <c r="F89" i="51"/>
  <c r="E89" i="51"/>
  <c r="F97" i="51"/>
  <c r="G97" i="51"/>
  <c r="E97" i="51"/>
  <c r="D97" i="51"/>
  <c r="F104" i="51"/>
  <c r="F112" i="51"/>
  <c r="G112" i="51"/>
  <c r="E112" i="51"/>
  <c r="D112" i="51"/>
  <c r="D122" i="51"/>
  <c r="G122" i="51"/>
  <c r="F122" i="51"/>
  <c r="E122" i="51"/>
  <c r="F185" i="51"/>
  <c r="F47" i="51"/>
  <c r="D53" i="51"/>
  <c r="D57" i="51"/>
  <c r="G59" i="51"/>
  <c r="G60" i="51"/>
  <c r="G63" i="51"/>
  <c r="G64" i="51"/>
  <c r="E71" i="51"/>
  <c r="F72" i="51"/>
  <c r="F77" i="51"/>
  <c r="E77" i="51"/>
  <c r="G78" i="51"/>
  <c r="E78" i="51"/>
  <c r="G79" i="51"/>
  <c r="D79" i="51"/>
  <c r="G81" i="51"/>
  <c r="E83" i="51"/>
  <c r="F85" i="51"/>
  <c r="D85" i="51"/>
  <c r="G89" i="51"/>
  <c r="E99" i="51"/>
  <c r="F102" i="51"/>
  <c r="G117" i="51"/>
  <c r="F41" i="51"/>
  <c r="D47" i="51"/>
  <c r="D51" i="51"/>
  <c r="E53" i="51"/>
  <c r="E57" i="51"/>
  <c r="D60" i="51"/>
  <c r="D69" i="51"/>
  <c r="F69" i="51"/>
  <c r="G71" i="51"/>
  <c r="D77" i="51"/>
  <c r="D78" i="51"/>
  <c r="E79" i="51"/>
  <c r="E85" i="51"/>
  <c r="E88" i="51"/>
  <c r="F65" i="51"/>
  <c r="D75" i="51"/>
  <c r="F91" i="51"/>
  <c r="E98" i="51"/>
  <c r="E111" i="51"/>
  <c r="D111" i="51"/>
  <c r="G111" i="51"/>
  <c r="F111" i="51"/>
  <c r="D120" i="51"/>
  <c r="E147" i="51"/>
  <c r="G147" i="51"/>
  <c r="F147" i="51"/>
  <c r="D147" i="51"/>
  <c r="E166" i="51"/>
  <c r="G65" i="51"/>
  <c r="G66" i="51"/>
  <c r="E70" i="51"/>
  <c r="G75" i="51"/>
  <c r="G91" i="51"/>
  <c r="D93" i="51"/>
  <c r="E94" i="51"/>
  <c r="D95" i="51"/>
  <c r="F95" i="51"/>
  <c r="E96" i="51"/>
  <c r="G96" i="51"/>
  <c r="F116" i="51"/>
  <c r="E123" i="51"/>
  <c r="G123" i="51"/>
  <c r="F123" i="51"/>
  <c r="D123" i="51"/>
  <c r="F132" i="51"/>
  <c r="G99" i="51"/>
  <c r="F103" i="51"/>
  <c r="G113" i="51"/>
  <c r="E113" i="51"/>
  <c r="G119" i="51"/>
  <c r="F119" i="51"/>
  <c r="F120" i="51"/>
  <c r="G125" i="51"/>
  <c r="E129" i="51"/>
  <c r="F130" i="51"/>
  <c r="E130" i="51"/>
  <c r="G138" i="51"/>
  <c r="G140" i="51"/>
  <c r="G143" i="51"/>
  <c r="F143" i="51"/>
  <c r="E143" i="51"/>
  <c r="D143" i="51"/>
  <c r="G144" i="51"/>
  <c r="G146" i="51"/>
  <c r="G164" i="51"/>
  <c r="F165" i="51"/>
  <c r="G107" i="51"/>
  <c r="D107" i="51"/>
  <c r="G136" i="51"/>
  <c r="F178" i="51"/>
  <c r="G178" i="51"/>
  <c r="E178" i="51"/>
  <c r="D178" i="51"/>
  <c r="D101" i="51"/>
  <c r="D105" i="51"/>
  <c r="E107" i="51"/>
  <c r="F108" i="51"/>
  <c r="G114" i="51"/>
  <c r="G131" i="51"/>
  <c r="G160" i="51"/>
  <c r="D99" i="51"/>
  <c r="G104" i="51"/>
  <c r="E105" i="51"/>
  <c r="F107" i="51"/>
  <c r="D131" i="51"/>
  <c r="G159" i="51"/>
  <c r="G98" i="51"/>
  <c r="F101" i="51"/>
  <c r="E102" i="51"/>
  <c r="D104" i="51"/>
  <c r="E108" i="51"/>
  <c r="E114" i="51"/>
  <c r="D116" i="51"/>
  <c r="E117" i="51"/>
  <c r="F117" i="51"/>
  <c r="E131" i="51"/>
  <c r="D132" i="51"/>
  <c r="D134" i="51"/>
  <c r="G134" i="51"/>
  <c r="E134" i="51"/>
  <c r="F149" i="51"/>
  <c r="F155" i="51"/>
  <c r="F118" i="51"/>
  <c r="D128" i="51"/>
  <c r="G137" i="51"/>
  <c r="E138" i="51"/>
  <c r="F140" i="51"/>
  <c r="E141" i="51"/>
  <c r="F144" i="51"/>
  <c r="E149" i="51"/>
  <c r="G150" i="51"/>
  <c r="E155" i="51"/>
  <c r="F159" i="51"/>
  <c r="G161" i="51"/>
  <c r="G176" i="51"/>
  <c r="E135" i="51"/>
  <c r="F138" i="51"/>
  <c r="F148" i="51"/>
  <c r="E168" i="51"/>
  <c r="G173" i="51"/>
  <c r="D173" i="51"/>
  <c r="E180" i="51"/>
  <c r="D180" i="51"/>
  <c r="G180" i="51"/>
  <c r="D182" i="51"/>
  <c r="F182" i="51"/>
  <c r="E182" i="51"/>
  <c r="D135" i="51"/>
  <c r="F142" i="51"/>
  <c r="D152" i="51"/>
  <c r="D162" i="51"/>
  <c r="D168" i="51"/>
  <c r="F170" i="51"/>
  <c r="E173" i="51"/>
  <c r="F180" i="51"/>
  <c r="G182" i="51"/>
  <c r="F135" i="51"/>
  <c r="F136" i="51"/>
  <c r="D146" i="51"/>
  <c r="E153" i="51"/>
  <c r="G153" i="51"/>
  <c r="F154" i="51"/>
  <c r="D154" i="51"/>
  <c r="F168" i="51"/>
  <c r="F172" i="51"/>
  <c r="E172" i="51"/>
  <c r="D172" i="51"/>
  <c r="F173" i="51"/>
  <c r="E177" i="51"/>
  <c r="D177" i="51"/>
  <c r="E179" i="51"/>
  <c r="F186" i="51"/>
  <c r="E186" i="51"/>
  <c r="D140" i="51"/>
  <c r="G149" i="51"/>
  <c r="E154" i="51"/>
  <c r="G155" i="51"/>
  <c r="E159" i="51"/>
  <c r="F160" i="51"/>
  <c r="E160" i="51"/>
  <c r="D164" i="51"/>
  <c r="E164" i="51"/>
  <c r="E165" i="51"/>
  <c r="F166" i="51"/>
  <c r="G166" i="51"/>
  <c r="G168" i="51"/>
  <c r="G172" i="51"/>
  <c r="D174" i="51"/>
  <c r="F177" i="51"/>
  <c r="F183" i="51"/>
  <c r="D186" i="51"/>
  <c r="D158" i="51"/>
  <c r="G167" i="51"/>
  <c r="E171" i="51"/>
  <c r="F174" i="51"/>
  <c r="F184" i="51"/>
  <c r="D188" i="51"/>
  <c r="E189" i="51"/>
  <c r="D190" i="51"/>
  <c r="F190" i="51"/>
  <c r="E191" i="51"/>
  <c r="G191" i="51"/>
  <c r="D176" i="51"/>
  <c r="G185" i="51"/>
  <c r="D170" i="51"/>
  <c r="E176" i="51"/>
  <c r="G179" i="51"/>
  <c r="E183" i="51"/>
  <c r="D185" i="51"/>
  <c r="J9" i="27"/>
  <c r="J8" i="27"/>
  <c r="J7" i="27"/>
  <c r="J6" i="27"/>
  <c r="J5" i="27"/>
  <c r="J4" i="27"/>
  <c r="J3" i="27"/>
  <c r="B8" i="35"/>
  <c r="C6" i="45" s="1"/>
  <c r="B6" i="35"/>
  <c r="E34" i="1"/>
  <c r="C3" i="45"/>
  <c r="B13" i="35"/>
  <c r="B10" i="35"/>
  <c r="B7" i="35"/>
  <c r="B6" i="46" s="1"/>
  <c r="B9" i="35"/>
  <c r="C7" i="45" s="1"/>
  <c r="D9" i="47"/>
  <c r="L27" i="51" l="1"/>
  <c r="L29" i="51"/>
  <c r="L28" i="51"/>
  <c r="L31" i="51"/>
  <c r="L30" i="51"/>
  <c r="L26" i="51"/>
  <c r="L25" i="51"/>
  <c r="C4" i="44"/>
  <c r="D10" i="1"/>
  <c r="C7" i="49"/>
  <c r="C5" i="45"/>
  <c r="C4" i="45"/>
  <c r="D10" i="47"/>
  <c r="B8" i="46"/>
  <c r="C6" i="44"/>
  <c r="B7" i="46"/>
  <c r="B7" i="48"/>
  <c r="B5" i="46"/>
  <c r="H3" i="25"/>
  <c r="F465" i="3" l="1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464" i="3"/>
  <c r="A7" i="45" l="1"/>
  <c r="A5" i="45"/>
  <c r="A4" i="45"/>
  <c r="A3" i="45"/>
  <c r="A9" i="45"/>
  <c r="C9" i="45"/>
  <c r="D9" i="45"/>
  <c r="A1" i="45"/>
  <c r="R10" i="24" l="1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N26" i="24"/>
  <c r="N27" i="24"/>
  <c r="S27" i="24" s="1"/>
  <c r="N28" i="24"/>
  <c r="O28" i="24" s="1"/>
  <c r="N29" i="24"/>
  <c r="O29" i="24" s="1"/>
  <c r="N30" i="24"/>
  <c r="S30" i="24" s="1"/>
  <c r="N31" i="24"/>
  <c r="O31" i="24" s="1"/>
  <c r="N32" i="24"/>
  <c r="O32" i="24" s="1"/>
  <c r="N33" i="24"/>
  <c r="S33" i="24" s="1"/>
  <c r="N34" i="24"/>
  <c r="O34" i="24" s="1"/>
  <c r="N35" i="24"/>
  <c r="O35" i="24" s="1"/>
  <c r="N36" i="24"/>
  <c r="S36" i="24" s="1"/>
  <c r="N37" i="24"/>
  <c r="O37" i="24" s="1"/>
  <c r="N38" i="24"/>
  <c r="O38" i="24" s="1"/>
  <c r="N39" i="24"/>
  <c r="S39" i="24" s="1"/>
  <c r="N40" i="24"/>
  <c r="O40" i="24" s="1"/>
  <c r="N41" i="24"/>
  <c r="O41" i="24" s="1"/>
  <c r="N42" i="24"/>
  <c r="S42" i="24" s="1"/>
  <c r="N43" i="24"/>
  <c r="O43" i="24" s="1"/>
  <c r="N44" i="24"/>
  <c r="O44" i="24" s="1"/>
  <c r="N45" i="24"/>
  <c r="S45" i="24" s="1"/>
  <c r="N46" i="24"/>
  <c r="O46" i="24" s="1"/>
  <c r="N47" i="24"/>
  <c r="O47" i="24" s="1"/>
  <c r="N48" i="24"/>
  <c r="S48" i="24" s="1"/>
  <c r="N49" i="24"/>
  <c r="O49" i="24" s="1"/>
  <c r="N50" i="24"/>
  <c r="O50" i="24" s="1"/>
  <c r="N51" i="24"/>
  <c r="S51" i="24" s="1"/>
  <c r="N52" i="24"/>
  <c r="O52" i="24" s="1"/>
  <c r="N53" i="24"/>
  <c r="O53" i="24" s="1"/>
  <c r="N54" i="24"/>
  <c r="S54" i="24" s="1"/>
  <c r="N55" i="24"/>
  <c r="O55" i="24" s="1"/>
  <c r="N56" i="24"/>
  <c r="O56" i="24" s="1"/>
  <c r="N57" i="24"/>
  <c r="S57" i="24" s="1"/>
  <c r="N58" i="24"/>
  <c r="O58" i="24" s="1"/>
  <c r="N59" i="24"/>
  <c r="O59" i="24" s="1"/>
  <c r="N60" i="24"/>
  <c r="S60" i="24" s="1"/>
  <c r="N61" i="24"/>
  <c r="O61" i="24" s="1"/>
  <c r="N62" i="24"/>
  <c r="O62" i="24" s="1"/>
  <c r="N63" i="24"/>
  <c r="S63" i="24" s="1"/>
  <c r="N64" i="24"/>
  <c r="O64" i="24" s="1"/>
  <c r="N65" i="24"/>
  <c r="O65" i="24" s="1"/>
  <c r="N66" i="24"/>
  <c r="S66" i="24" s="1"/>
  <c r="N67" i="24"/>
  <c r="O67" i="24" s="1"/>
  <c r="N68" i="24"/>
  <c r="O68" i="24" s="1"/>
  <c r="N69" i="24"/>
  <c r="S69" i="24" s="1"/>
  <c r="N70" i="24"/>
  <c r="O70" i="24" s="1"/>
  <c r="N71" i="24"/>
  <c r="O71" i="24" s="1"/>
  <c r="N72" i="24"/>
  <c r="S72" i="24" s="1"/>
  <c r="N73" i="24"/>
  <c r="O73" i="24" s="1"/>
  <c r="N74" i="24"/>
  <c r="O74" i="24" s="1"/>
  <c r="N75" i="24"/>
  <c r="S75" i="24" s="1"/>
  <c r="N76" i="24"/>
  <c r="O76" i="24" s="1"/>
  <c r="N77" i="24"/>
  <c r="O77" i="24" s="1"/>
  <c r="N78" i="24"/>
  <c r="S78" i="24" s="1"/>
  <c r="N79" i="24"/>
  <c r="O79" i="24" s="1"/>
  <c r="N80" i="24"/>
  <c r="O80" i="24" s="1"/>
  <c r="N81" i="24"/>
  <c r="S81" i="24" s="1"/>
  <c r="N82" i="24"/>
  <c r="O82" i="24" s="1"/>
  <c r="N83" i="24"/>
  <c r="O83" i="24" s="1"/>
  <c r="N84" i="24"/>
  <c r="S84" i="24" s="1"/>
  <c r="N85" i="24"/>
  <c r="O85" i="24" s="1"/>
  <c r="N86" i="24"/>
  <c r="O86" i="24" s="1"/>
  <c r="N87" i="24"/>
  <c r="S87" i="24" s="1"/>
  <c r="N88" i="24"/>
  <c r="O88" i="24" s="1"/>
  <c r="N89" i="24"/>
  <c r="O89" i="24" s="1"/>
  <c r="N90" i="24"/>
  <c r="S90" i="24" s="1"/>
  <c r="N91" i="24"/>
  <c r="O91" i="24" s="1"/>
  <c r="N92" i="24"/>
  <c r="O92" i="24" s="1"/>
  <c r="N93" i="24"/>
  <c r="S93" i="24" s="1"/>
  <c r="N94" i="24"/>
  <c r="O94" i="24" s="1"/>
  <c r="N95" i="24"/>
  <c r="O95" i="24" s="1"/>
  <c r="N96" i="24"/>
  <c r="S96" i="24" s="1"/>
  <c r="N97" i="24"/>
  <c r="O97" i="24" s="1"/>
  <c r="N98" i="24"/>
  <c r="O98" i="24" s="1"/>
  <c r="N99" i="24"/>
  <c r="S99" i="24" s="1"/>
  <c r="N100" i="24"/>
  <c r="O100" i="24" s="1"/>
  <c r="N101" i="24"/>
  <c r="O101" i="24" s="1"/>
  <c r="N102" i="24"/>
  <c r="S102" i="24" s="1"/>
  <c r="N103" i="24"/>
  <c r="O103" i="24" s="1"/>
  <c r="N104" i="24"/>
  <c r="O104" i="24" s="1"/>
  <c r="N105" i="24"/>
  <c r="S105" i="24" s="1"/>
  <c r="N106" i="24"/>
  <c r="O106" i="24" s="1"/>
  <c r="N107" i="24"/>
  <c r="O107" i="24" s="1"/>
  <c r="N108" i="24"/>
  <c r="S108" i="24" s="1"/>
  <c r="O96" i="24" l="1"/>
  <c r="O87" i="24"/>
  <c r="O33" i="24"/>
  <c r="O42" i="24"/>
  <c r="S76" i="24"/>
  <c r="O69" i="24"/>
  <c r="S85" i="24"/>
  <c r="S64" i="24"/>
  <c r="S31" i="24"/>
  <c r="S80" i="24"/>
  <c r="S106" i="24"/>
  <c r="S89" i="24"/>
  <c r="O72" i="24"/>
  <c r="S52" i="24"/>
  <c r="S35" i="24"/>
  <c r="O108" i="24"/>
  <c r="O81" i="24"/>
  <c r="O54" i="24"/>
  <c r="S55" i="24"/>
  <c r="S43" i="24"/>
  <c r="O105" i="24"/>
  <c r="O90" i="24"/>
  <c r="O51" i="24"/>
  <c r="O36" i="24"/>
  <c r="S100" i="24"/>
  <c r="S88" i="24"/>
  <c r="S71" i="24"/>
  <c r="S67" i="24"/>
  <c r="S46" i="24"/>
  <c r="S34" i="24"/>
  <c r="O99" i="24"/>
  <c r="O60" i="24"/>
  <c r="O45" i="24"/>
  <c r="S91" i="24"/>
  <c r="S79" i="24"/>
  <c r="S62" i="24"/>
  <c r="S58" i="24"/>
  <c r="S37" i="24"/>
  <c r="S97" i="24"/>
  <c r="S107" i="24"/>
  <c r="S103" i="24"/>
  <c r="S82" i="24"/>
  <c r="S70" i="24"/>
  <c r="S53" i="24"/>
  <c r="S49" i="24"/>
  <c r="S28" i="24"/>
  <c r="O78" i="24"/>
  <c r="O63" i="24"/>
  <c r="S98" i="24"/>
  <c r="S94" i="24"/>
  <c r="S73" i="24"/>
  <c r="S61" i="24"/>
  <c r="S44" i="24"/>
  <c r="S40" i="24"/>
  <c r="O102" i="24"/>
  <c r="O93" i="24"/>
  <c r="O84" i="24"/>
  <c r="O75" i="24"/>
  <c r="O66" i="24"/>
  <c r="O57" i="24"/>
  <c r="O48" i="24"/>
  <c r="O39" i="24"/>
  <c r="O30" i="24"/>
  <c r="S83" i="24"/>
  <c r="S77" i="24"/>
  <c r="S74" i="24"/>
  <c r="S68" i="24"/>
  <c r="S56" i="24"/>
  <c r="S50" i="24"/>
  <c r="S47" i="24"/>
  <c r="S38" i="24"/>
  <c r="S32" i="24"/>
  <c r="S29" i="24"/>
  <c r="S104" i="24"/>
  <c r="S101" i="24"/>
  <c r="S95" i="24"/>
  <c r="S92" i="24"/>
  <c r="S86" i="24"/>
  <c r="S65" i="24"/>
  <c r="S59" i="24"/>
  <c r="S41" i="24"/>
  <c r="S26" i="24"/>
  <c r="C12" i="44"/>
  <c r="D12" i="44"/>
  <c r="E12" i="44"/>
  <c r="F12" i="44"/>
  <c r="C13" i="44"/>
  <c r="D13" i="44"/>
  <c r="E13" i="44"/>
  <c r="F13" i="44"/>
  <c r="C14" i="44"/>
  <c r="D14" i="44"/>
  <c r="E14" i="44"/>
  <c r="F14" i="44"/>
  <c r="C15" i="44"/>
  <c r="D15" i="44"/>
  <c r="E15" i="44"/>
  <c r="F15" i="44"/>
  <c r="C16" i="44"/>
  <c r="D16" i="44"/>
  <c r="E16" i="44"/>
  <c r="F16" i="44"/>
  <c r="C17" i="44"/>
  <c r="D17" i="44"/>
  <c r="E17" i="44"/>
  <c r="F17" i="44"/>
  <c r="C18" i="44"/>
  <c r="D18" i="44"/>
  <c r="E18" i="44"/>
  <c r="F18" i="44"/>
  <c r="C19" i="44"/>
  <c r="D19" i="44"/>
  <c r="E19" i="44"/>
  <c r="F19" i="44"/>
  <c r="C20" i="44"/>
  <c r="D20" i="44"/>
  <c r="E20" i="44"/>
  <c r="F20" i="44"/>
  <c r="C21" i="44"/>
  <c r="D21" i="44"/>
  <c r="E21" i="44"/>
  <c r="F21" i="44"/>
  <c r="C22" i="44"/>
  <c r="D22" i="44"/>
  <c r="E22" i="44"/>
  <c r="F22" i="44"/>
  <c r="C23" i="44"/>
  <c r="D23" i="44"/>
  <c r="E23" i="44"/>
  <c r="F23" i="44"/>
  <c r="C24" i="44"/>
  <c r="D24" i="44"/>
  <c r="E24" i="44"/>
  <c r="F24" i="44"/>
  <c r="C25" i="44"/>
  <c r="D25" i="44"/>
  <c r="E25" i="44"/>
  <c r="F25" i="44"/>
  <c r="C26" i="44"/>
  <c r="D26" i="44"/>
  <c r="E26" i="44"/>
  <c r="F26" i="44"/>
  <c r="C27" i="44"/>
  <c r="D27" i="44"/>
  <c r="E27" i="44"/>
  <c r="F27" i="44"/>
  <c r="C28" i="44"/>
  <c r="D28" i="44"/>
  <c r="E28" i="44"/>
  <c r="F28" i="44"/>
  <c r="C29" i="44"/>
  <c r="D29" i="44"/>
  <c r="E29" i="44"/>
  <c r="F29" i="44"/>
  <c r="C30" i="44"/>
  <c r="D30" i="44"/>
  <c r="E30" i="44"/>
  <c r="F30" i="44"/>
  <c r="C31" i="44"/>
  <c r="D31" i="44"/>
  <c r="E31" i="44"/>
  <c r="F31" i="44"/>
  <c r="C32" i="44"/>
  <c r="D32" i="44"/>
  <c r="E32" i="44"/>
  <c r="F32" i="44"/>
  <c r="C33" i="44"/>
  <c r="D33" i="44"/>
  <c r="E33" i="44"/>
  <c r="F33" i="44"/>
  <c r="C34" i="44"/>
  <c r="D34" i="44"/>
  <c r="E34" i="44"/>
  <c r="F34" i="44"/>
  <c r="C35" i="44"/>
  <c r="D35" i="44"/>
  <c r="E35" i="44"/>
  <c r="F35" i="44"/>
  <c r="C36" i="44"/>
  <c r="D36" i="44"/>
  <c r="E36" i="44"/>
  <c r="F36" i="44"/>
  <c r="C37" i="44"/>
  <c r="D37" i="44"/>
  <c r="E37" i="44"/>
  <c r="F37" i="44"/>
  <c r="C38" i="44"/>
  <c r="D38" i="44"/>
  <c r="E38" i="44"/>
  <c r="F38" i="44"/>
  <c r="C39" i="44"/>
  <c r="D39" i="44"/>
  <c r="E39" i="44"/>
  <c r="F39" i="44"/>
  <c r="C40" i="44"/>
  <c r="D40" i="44"/>
  <c r="E40" i="44"/>
  <c r="F40" i="44"/>
  <c r="C41" i="44"/>
  <c r="D41" i="44"/>
  <c r="E41" i="44"/>
  <c r="F41" i="44"/>
  <c r="C42" i="44"/>
  <c r="D42" i="44"/>
  <c r="E42" i="44"/>
  <c r="F42" i="44"/>
  <c r="C43" i="44"/>
  <c r="D43" i="44"/>
  <c r="E43" i="44"/>
  <c r="F43" i="44"/>
  <c r="C44" i="44"/>
  <c r="D44" i="44"/>
  <c r="E44" i="44"/>
  <c r="F44" i="44"/>
  <c r="C45" i="44"/>
  <c r="D45" i="44"/>
  <c r="E45" i="44"/>
  <c r="F45" i="44"/>
  <c r="C46" i="44"/>
  <c r="D46" i="44"/>
  <c r="E46" i="44"/>
  <c r="F46" i="44"/>
  <c r="C47" i="44"/>
  <c r="D47" i="44"/>
  <c r="E47" i="44"/>
  <c r="F47" i="44"/>
  <c r="C48" i="44"/>
  <c r="D48" i="44"/>
  <c r="E48" i="44"/>
  <c r="F48" i="44"/>
  <c r="C49" i="44"/>
  <c r="D49" i="44"/>
  <c r="E49" i="44"/>
  <c r="F49" i="44"/>
  <c r="C50" i="44"/>
  <c r="D50" i="44"/>
  <c r="E50" i="44"/>
  <c r="F50" i="44"/>
  <c r="C51" i="44"/>
  <c r="D51" i="44"/>
  <c r="E51" i="44"/>
  <c r="F51" i="44"/>
  <c r="C52" i="44"/>
  <c r="D52" i="44"/>
  <c r="E52" i="44"/>
  <c r="F52" i="44"/>
  <c r="C53" i="44"/>
  <c r="D53" i="44"/>
  <c r="E53" i="44"/>
  <c r="F53" i="44"/>
  <c r="C54" i="44"/>
  <c r="D54" i="44"/>
  <c r="E54" i="44"/>
  <c r="F54" i="44"/>
  <c r="C55" i="44"/>
  <c r="D55" i="44"/>
  <c r="E55" i="44"/>
  <c r="F55" i="44"/>
  <c r="C56" i="44"/>
  <c r="D56" i="44"/>
  <c r="E56" i="44"/>
  <c r="F56" i="44"/>
  <c r="C57" i="44"/>
  <c r="D57" i="44"/>
  <c r="E57" i="44"/>
  <c r="F57" i="44"/>
  <c r="C58" i="44"/>
  <c r="D58" i="44"/>
  <c r="E58" i="44"/>
  <c r="F58" i="44"/>
  <c r="C59" i="44"/>
  <c r="D59" i="44"/>
  <c r="E59" i="44"/>
  <c r="F59" i="44"/>
  <c r="C60" i="44"/>
  <c r="D60" i="44"/>
  <c r="E60" i="44"/>
  <c r="F60" i="44"/>
  <c r="C61" i="44"/>
  <c r="D61" i="44"/>
  <c r="E61" i="44"/>
  <c r="F61" i="44"/>
  <c r="C62" i="44"/>
  <c r="D62" i="44"/>
  <c r="E62" i="44"/>
  <c r="F62" i="44"/>
  <c r="C63" i="44"/>
  <c r="D63" i="44"/>
  <c r="E63" i="44"/>
  <c r="F63" i="44"/>
  <c r="C64" i="44"/>
  <c r="D64" i="44"/>
  <c r="E64" i="44"/>
  <c r="F64" i="44"/>
  <c r="C65" i="44"/>
  <c r="D65" i="44"/>
  <c r="E65" i="44"/>
  <c r="F65" i="44"/>
  <c r="C66" i="44"/>
  <c r="D66" i="44"/>
  <c r="E66" i="44"/>
  <c r="F66" i="44"/>
  <c r="C67" i="44"/>
  <c r="D67" i="44"/>
  <c r="E67" i="44"/>
  <c r="F67" i="44"/>
  <c r="C68" i="44"/>
  <c r="D68" i="44"/>
  <c r="E68" i="44"/>
  <c r="F68" i="44"/>
  <c r="C69" i="44"/>
  <c r="D69" i="44"/>
  <c r="E69" i="44"/>
  <c r="F69" i="44"/>
  <c r="C70" i="44"/>
  <c r="D70" i="44"/>
  <c r="E70" i="44"/>
  <c r="F70" i="44"/>
  <c r="C71" i="44"/>
  <c r="D71" i="44"/>
  <c r="E71" i="44"/>
  <c r="F71" i="44"/>
  <c r="C72" i="44"/>
  <c r="D72" i="44"/>
  <c r="E72" i="44"/>
  <c r="F72" i="44"/>
  <c r="C73" i="44"/>
  <c r="D73" i="44"/>
  <c r="E73" i="44"/>
  <c r="F73" i="44"/>
  <c r="C74" i="44"/>
  <c r="D74" i="44"/>
  <c r="E74" i="44"/>
  <c r="F74" i="44"/>
  <c r="C75" i="44"/>
  <c r="D75" i="44"/>
  <c r="E75" i="44"/>
  <c r="F75" i="44"/>
  <c r="C76" i="44"/>
  <c r="D76" i="44"/>
  <c r="E76" i="44"/>
  <c r="F76" i="44"/>
  <c r="C77" i="44"/>
  <c r="D77" i="44"/>
  <c r="E77" i="44"/>
  <c r="F77" i="44"/>
  <c r="C78" i="44"/>
  <c r="D78" i="44"/>
  <c r="E78" i="44"/>
  <c r="F78" i="44"/>
  <c r="C79" i="44"/>
  <c r="D79" i="44"/>
  <c r="E79" i="44"/>
  <c r="F79" i="44"/>
  <c r="C80" i="44"/>
  <c r="D80" i="44"/>
  <c r="E80" i="44"/>
  <c r="F80" i="44"/>
  <c r="C81" i="44"/>
  <c r="D81" i="44"/>
  <c r="E81" i="44"/>
  <c r="F81" i="44"/>
  <c r="C82" i="44"/>
  <c r="D82" i="44"/>
  <c r="E82" i="44"/>
  <c r="F82" i="44"/>
  <c r="C83" i="44"/>
  <c r="D83" i="44"/>
  <c r="E83" i="44"/>
  <c r="F83" i="44"/>
  <c r="C84" i="44"/>
  <c r="D84" i="44"/>
  <c r="E84" i="44"/>
  <c r="F84" i="44"/>
  <c r="C85" i="44"/>
  <c r="D85" i="44"/>
  <c r="E85" i="44"/>
  <c r="F85" i="44"/>
  <c r="C86" i="44"/>
  <c r="D86" i="44"/>
  <c r="E86" i="44"/>
  <c r="F86" i="44"/>
  <c r="C87" i="44"/>
  <c r="D87" i="44"/>
  <c r="E87" i="44"/>
  <c r="F87" i="44"/>
  <c r="C88" i="44"/>
  <c r="D88" i="44"/>
  <c r="E88" i="44"/>
  <c r="F88" i="44"/>
  <c r="C89" i="44"/>
  <c r="D89" i="44"/>
  <c r="E89" i="44"/>
  <c r="F89" i="44"/>
  <c r="C90" i="44"/>
  <c r="D90" i="44"/>
  <c r="E90" i="44"/>
  <c r="F90" i="44"/>
  <c r="C91" i="44"/>
  <c r="D91" i="44"/>
  <c r="E91" i="44"/>
  <c r="F91" i="44"/>
  <c r="C92" i="44"/>
  <c r="D92" i="44"/>
  <c r="E92" i="44"/>
  <c r="F92" i="44"/>
  <c r="C93" i="44"/>
  <c r="D93" i="44"/>
  <c r="E93" i="44"/>
  <c r="F93" i="44"/>
  <c r="C94" i="44"/>
  <c r="D94" i="44"/>
  <c r="E94" i="44"/>
  <c r="F94" i="44"/>
  <c r="C95" i="44"/>
  <c r="D95" i="44"/>
  <c r="E95" i="44"/>
  <c r="F95" i="44"/>
  <c r="C96" i="44"/>
  <c r="D96" i="44"/>
  <c r="E96" i="44"/>
  <c r="F96" i="44"/>
  <c r="C97" i="44"/>
  <c r="D97" i="44"/>
  <c r="E97" i="44"/>
  <c r="F97" i="44"/>
  <c r="C98" i="44"/>
  <c r="D98" i="44"/>
  <c r="E98" i="44"/>
  <c r="F98" i="44"/>
  <c r="C99" i="44"/>
  <c r="D99" i="44"/>
  <c r="E99" i="44"/>
  <c r="F99" i="44"/>
  <c r="C100" i="44"/>
  <c r="D100" i="44"/>
  <c r="E100" i="44"/>
  <c r="F100" i="44"/>
  <c r="C101" i="44"/>
  <c r="D101" i="44"/>
  <c r="E101" i="44"/>
  <c r="F101" i="44"/>
  <c r="C102" i="44"/>
  <c r="D102" i="44"/>
  <c r="E102" i="44"/>
  <c r="F102" i="44"/>
  <c r="C103" i="44"/>
  <c r="D103" i="44"/>
  <c r="E103" i="44"/>
  <c r="F103" i="44"/>
  <c r="C104" i="44"/>
  <c r="D104" i="44"/>
  <c r="E104" i="44"/>
  <c r="F104" i="44"/>
  <c r="C105" i="44"/>
  <c r="D105" i="44"/>
  <c r="E105" i="44"/>
  <c r="F105" i="44"/>
  <c r="C106" i="44"/>
  <c r="D106" i="44"/>
  <c r="E106" i="44"/>
  <c r="F106" i="44"/>
  <c r="C107" i="44"/>
  <c r="D107" i="44"/>
  <c r="E107" i="44"/>
  <c r="F107" i="44"/>
  <c r="C108" i="44"/>
  <c r="D108" i="44"/>
  <c r="E108" i="44"/>
  <c r="F108" i="44"/>
  <c r="C109" i="44"/>
  <c r="D109" i="44"/>
  <c r="E109" i="44"/>
  <c r="F109" i="44"/>
  <c r="C110" i="44"/>
  <c r="D110" i="44"/>
  <c r="E110" i="44"/>
  <c r="F110" i="44"/>
  <c r="H117" i="41" l="1"/>
  <c r="E126" i="48"/>
  <c r="B11" i="35" l="1"/>
  <c r="H120" i="41"/>
  <c r="P32" i="36" l="1"/>
  <c r="P33" i="36"/>
  <c r="P34" i="36"/>
  <c r="P35" i="36"/>
  <c r="P36" i="36"/>
  <c r="P37" i="36"/>
  <c r="P38" i="36"/>
  <c r="P39" i="36"/>
  <c r="P40" i="36"/>
  <c r="P41" i="36"/>
  <c r="P42" i="36"/>
  <c r="P43" i="36"/>
  <c r="P44" i="36"/>
  <c r="P45" i="36"/>
  <c r="P46" i="36"/>
  <c r="P47" i="36"/>
  <c r="P48" i="36"/>
  <c r="P49" i="36"/>
  <c r="P50" i="36"/>
  <c r="P51" i="36"/>
  <c r="P52" i="36"/>
  <c r="P53" i="36"/>
  <c r="P54" i="36"/>
  <c r="P55" i="36"/>
  <c r="P56" i="36"/>
  <c r="P57" i="36"/>
  <c r="P58" i="36"/>
  <c r="P59" i="36"/>
  <c r="P60" i="36"/>
  <c r="P61" i="36"/>
  <c r="P62" i="36"/>
  <c r="P63" i="36"/>
  <c r="P64" i="36"/>
  <c r="P65" i="36"/>
  <c r="P66" i="36"/>
  <c r="P67" i="36"/>
  <c r="P68" i="36"/>
  <c r="P69" i="36"/>
  <c r="P70" i="36"/>
  <c r="P71" i="36"/>
  <c r="P72" i="36"/>
  <c r="P73" i="36"/>
  <c r="P74" i="36"/>
  <c r="P75" i="36"/>
  <c r="P76" i="36"/>
  <c r="P77" i="36"/>
  <c r="P78" i="36"/>
  <c r="P79" i="36"/>
  <c r="P80" i="36"/>
  <c r="P81" i="36"/>
  <c r="P82" i="36"/>
  <c r="P83" i="36"/>
  <c r="P84" i="36"/>
  <c r="P85" i="36"/>
  <c r="P86" i="36"/>
  <c r="P87" i="36"/>
  <c r="P88" i="36"/>
  <c r="P89" i="36"/>
  <c r="P90" i="36"/>
  <c r="P91" i="36"/>
  <c r="P92" i="36"/>
  <c r="P93" i="36"/>
  <c r="P94" i="36"/>
  <c r="P95" i="36"/>
  <c r="P96" i="36"/>
  <c r="P97" i="36"/>
  <c r="P98" i="36"/>
  <c r="P99" i="36"/>
  <c r="P100" i="36"/>
  <c r="P101" i="36"/>
  <c r="P102" i="36"/>
  <c r="P103" i="36"/>
  <c r="P104" i="36"/>
  <c r="P105" i="36"/>
  <c r="P106" i="36"/>
  <c r="P107" i="36"/>
  <c r="P108" i="36"/>
  <c r="P109" i="36"/>
  <c r="P110" i="36"/>
  <c r="P111" i="36"/>
  <c r="P112" i="36"/>
  <c r="B120" i="48" l="1"/>
  <c r="B121" i="48"/>
  <c r="B122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B104" i="48"/>
  <c r="B105" i="48"/>
  <c r="B106" i="48"/>
  <c r="B107" i="48"/>
  <c r="B108" i="48"/>
  <c r="B109" i="48"/>
  <c r="B110" i="48"/>
  <c r="B111" i="48"/>
  <c r="B112" i="48"/>
  <c r="B113" i="48"/>
  <c r="B114" i="48"/>
  <c r="B115" i="48"/>
  <c r="B116" i="48"/>
  <c r="B117" i="48"/>
  <c r="B118" i="48"/>
  <c r="B119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C104" i="49"/>
  <c r="C105" i="49"/>
  <c r="C106" i="49"/>
  <c r="C107" i="49"/>
  <c r="C108" i="49"/>
  <c r="C109" i="49"/>
  <c r="C110" i="49"/>
  <c r="C111" i="49"/>
  <c r="C112" i="49"/>
  <c r="C113" i="49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B104" i="46"/>
  <c r="B105" i="46"/>
  <c r="B106" i="46"/>
  <c r="B107" i="46"/>
  <c r="B108" i="46"/>
  <c r="B109" i="46"/>
  <c r="B110" i="46"/>
  <c r="B111" i="46"/>
  <c r="B112" i="46"/>
  <c r="A113" i="46"/>
  <c r="B113" i="46"/>
  <c r="F113" i="46"/>
  <c r="E113" i="46"/>
  <c r="B26" i="46"/>
  <c r="B27" i="46"/>
  <c r="B28" i="46"/>
  <c r="B29" i="46"/>
  <c r="B30" i="46"/>
  <c r="B31" i="46"/>
  <c r="C113" i="46" l="1"/>
  <c r="D113" i="46"/>
  <c r="D31" i="3"/>
  <c r="D32" i="3"/>
  <c r="F32" i="3" s="1"/>
  <c r="D33" i="3"/>
  <c r="D34" i="3"/>
  <c r="D35" i="3"/>
  <c r="F35" i="3" s="1"/>
  <c r="D36" i="3"/>
  <c r="F36" i="3" s="1"/>
  <c r="T28" i="24" s="1"/>
  <c r="D37" i="3"/>
  <c r="E37" i="3" s="1"/>
  <c r="D38" i="3"/>
  <c r="F38" i="3" s="1"/>
  <c r="T30" i="24" s="1"/>
  <c r="D39" i="3"/>
  <c r="F39" i="3" s="1"/>
  <c r="T31" i="24" s="1"/>
  <c r="D40" i="3"/>
  <c r="E40" i="3" s="1"/>
  <c r="D41" i="3"/>
  <c r="F41" i="3" s="1"/>
  <c r="T33" i="24" s="1"/>
  <c r="D42" i="3"/>
  <c r="E42" i="3" s="1"/>
  <c r="D43" i="3"/>
  <c r="F43" i="3" s="1"/>
  <c r="T35" i="24" s="1"/>
  <c r="D44" i="3"/>
  <c r="E44" i="3" s="1"/>
  <c r="D45" i="3"/>
  <c r="F45" i="3" s="1"/>
  <c r="T37" i="24" s="1"/>
  <c r="D46" i="3"/>
  <c r="E46" i="3" s="1"/>
  <c r="D47" i="3"/>
  <c r="F47" i="3" s="1"/>
  <c r="T39" i="24" s="1"/>
  <c r="D48" i="3"/>
  <c r="E48" i="3" s="1"/>
  <c r="D49" i="3"/>
  <c r="F49" i="3" s="1"/>
  <c r="T41" i="24" s="1"/>
  <c r="D50" i="3"/>
  <c r="E50" i="3" s="1"/>
  <c r="D51" i="3"/>
  <c r="F51" i="3" s="1"/>
  <c r="T43" i="24" s="1"/>
  <c r="D52" i="3"/>
  <c r="E52" i="3" s="1"/>
  <c r="D53" i="3"/>
  <c r="F53" i="3" s="1"/>
  <c r="T45" i="24" s="1"/>
  <c r="D54" i="3"/>
  <c r="E54" i="3" s="1"/>
  <c r="D55" i="3"/>
  <c r="F55" i="3" s="1"/>
  <c r="T47" i="24" s="1"/>
  <c r="D56" i="3"/>
  <c r="E56" i="3" s="1"/>
  <c r="D57" i="3"/>
  <c r="F57" i="3" s="1"/>
  <c r="T49" i="24" s="1"/>
  <c r="D58" i="3"/>
  <c r="E58" i="3" s="1"/>
  <c r="F58" i="3"/>
  <c r="T50" i="24" s="1"/>
  <c r="D59" i="3"/>
  <c r="F59" i="3" s="1"/>
  <c r="T51" i="24" s="1"/>
  <c r="D60" i="3"/>
  <c r="E60" i="3" s="1"/>
  <c r="D61" i="3"/>
  <c r="F61" i="3" s="1"/>
  <c r="T53" i="24" s="1"/>
  <c r="D62" i="3"/>
  <c r="E62" i="3" s="1"/>
  <c r="D63" i="3"/>
  <c r="F63" i="3" s="1"/>
  <c r="T55" i="24" s="1"/>
  <c r="D64" i="3"/>
  <c r="E64" i="3" s="1"/>
  <c r="D65" i="3"/>
  <c r="F65" i="3" s="1"/>
  <c r="T57" i="24" s="1"/>
  <c r="D66" i="3"/>
  <c r="E66" i="3" s="1"/>
  <c r="D67" i="3"/>
  <c r="F67" i="3" s="1"/>
  <c r="T59" i="24" s="1"/>
  <c r="D68" i="3"/>
  <c r="E68" i="3" s="1"/>
  <c r="D69" i="3"/>
  <c r="F69" i="3" s="1"/>
  <c r="T61" i="24" s="1"/>
  <c r="D70" i="3"/>
  <c r="E70" i="3" s="1"/>
  <c r="D71" i="3"/>
  <c r="F71" i="3" s="1"/>
  <c r="T63" i="24" s="1"/>
  <c r="D72" i="3"/>
  <c r="E72" i="3" s="1"/>
  <c r="F72" i="3"/>
  <c r="T64" i="24" s="1"/>
  <c r="D73" i="3"/>
  <c r="F73" i="3" s="1"/>
  <c r="T65" i="24" s="1"/>
  <c r="D74" i="3"/>
  <c r="E74" i="3" s="1"/>
  <c r="D75" i="3"/>
  <c r="F75" i="3" s="1"/>
  <c r="T67" i="24" s="1"/>
  <c r="D76" i="3"/>
  <c r="E76" i="3" s="1"/>
  <c r="F76" i="3"/>
  <c r="T68" i="24" s="1"/>
  <c r="D77" i="3"/>
  <c r="F77" i="3" s="1"/>
  <c r="T69" i="24" s="1"/>
  <c r="D78" i="3"/>
  <c r="E78" i="3" s="1"/>
  <c r="D79" i="3"/>
  <c r="F79" i="3" s="1"/>
  <c r="T71" i="24" s="1"/>
  <c r="D80" i="3"/>
  <c r="E80" i="3" s="1"/>
  <c r="D81" i="3"/>
  <c r="F81" i="3" s="1"/>
  <c r="T73" i="24" s="1"/>
  <c r="D82" i="3"/>
  <c r="E82" i="3" s="1"/>
  <c r="D83" i="3"/>
  <c r="F83" i="3" s="1"/>
  <c r="T75" i="24" s="1"/>
  <c r="D84" i="3"/>
  <c r="E84" i="3" s="1"/>
  <c r="F84" i="3"/>
  <c r="T76" i="24" s="1"/>
  <c r="D85" i="3"/>
  <c r="F85" i="3" s="1"/>
  <c r="T77" i="24" s="1"/>
  <c r="D86" i="3"/>
  <c r="E86" i="3" s="1"/>
  <c r="D87" i="3"/>
  <c r="F87" i="3" s="1"/>
  <c r="T79" i="24" s="1"/>
  <c r="D88" i="3"/>
  <c r="E88" i="3" s="1"/>
  <c r="F88" i="3"/>
  <c r="T80" i="24" s="1"/>
  <c r="D89" i="3"/>
  <c r="F89" i="3" s="1"/>
  <c r="T81" i="24" s="1"/>
  <c r="D90" i="3"/>
  <c r="E90" i="3" s="1"/>
  <c r="D91" i="3"/>
  <c r="F91" i="3" s="1"/>
  <c r="T83" i="24" s="1"/>
  <c r="D92" i="3"/>
  <c r="E92" i="3" s="1"/>
  <c r="D93" i="3"/>
  <c r="F93" i="3" s="1"/>
  <c r="T85" i="24" s="1"/>
  <c r="D94" i="3"/>
  <c r="E94" i="3" s="1"/>
  <c r="D95" i="3"/>
  <c r="F95" i="3" s="1"/>
  <c r="T87" i="24" s="1"/>
  <c r="D96" i="3"/>
  <c r="E96" i="3" s="1"/>
  <c r="F96" i="3"/>
  <c r="T88" i="24" s="1"/>
  <c r="D97" i="3"/>
  <c r="F97" i="3" s="1"/>
  <c r="T89" i="24" s="1"/>
  <c r="D98" i="3"/>
  <c r="E98" i="3" s="1"/>
  <c r="D99" i="3"/>
  <c r="F99" i="3" s="1"/>
  <c r="T91" i="24" s="1"/>
  <c r="D100" i="3"/>
  <c r="E100" i="3" s="1"/>
  <c r="D101" i="3"/>
  <c r="F101" i="3" s="1"/>
  <c r="T93" i="24" s="1"/>
  <c r="D102" i="3"/>
  <c r="E102" i="3" s="1"/>
  <c r="D103" i="3"/>
  <c r="F103" i="3" s="1"/>
  <c r="T95" i="24" s="1"/>
  <c r="D104" i="3"/>
  <c r="E104" i="3" s="1"/>
  <c r="F104" i="3"/>
  <c r="T96" i="24" s="1"/>
  <c r="D105" i="3"/>
  <c r="F105" i="3" s="1"/>
  <c r="T97" i="24" s="1"/>
  <c r="D106" i="3"/>
  <c r="E106" i="3" s="1"/>
  <c r="D107" i="3"/>
  <c r="F107" i="3" s="1"/>
  <c r="T99" i="24" s="1"/>
  <c r="D108" i="3"/>
  <c r="E108" i="3" s="1"/>
  <c r="F108" i="3"/>
  <c r="T100" i="24" s="1"/>
  <c r="D109" i="3"/>
  <c r="F109" i="3" s="1"/>
  <c r="T101" i="24" s="1"/>
  <c r="D110" i="3"/>
  <c r="E110" i="3" s="1"/>
  <c r="D111" i="3"/>
  <c r="F111" i="3" s="1"/>
  <c r="T103" i="24" s="1"/>
  <c r="D112" i="3"/>
  <c r="F112" i="3" s="1"/>
  <c r="T104" i="24" s="1"/>
  <c r="E112" i="3"/>
  <c r="D113" i="3"/>
  <c r="E113" i="3" s="1"/>
  <c r="D114" i="3"/>
  <c r="F114" i="3" s="1"/>
  <c r="T106" i="24" s="1"/>
  <c r="D115" i="3"/>
  <c r="F115" i="3" s="1"/>
  <c r="T107" i="24" s="1"/>
  <c r="D116" i="3"/>
  <c r="F116" i="3" s="1"/>
  <c r="T108" i="24" s="1"/>
  <c r="R9" i="24"/>
  <c r="O27" i="24" l="1"/>
  <c r="T27" i="24" s="1"/>
  <c r="F66" i="3"/>
  <c r="T58" i="24" s="1"/>
  <c r="F92" i="3"/>
  <c r="T84" i="24" s="1"/>
  <c r="E115" i="3"/>
  <c r="F100" i="3"/>
  <c r="T92" i="24" s="1"/>
  <c r="F80" i="3"/>
  <c r="T72" i="24" s="1"/>
  <c r="E114" i="3"/>
  <c r="F42" i="3"/>
  <c r="T34" i="24" s="1"/>
  <c r="F110" i="3"/>
  <c r="T102" i="24" s="1"/>
  <c r="F106" i="3"/>
  <c r="T98" i="24" s="1"/>
  <c r="F102" i="3"/>
  <c r="T94" i="24" s="1"/>
  <c r="F98" i="3"/>
  <c r="T90" i="24" s="1"/>
  <c r="F94" i="3"/>
  <c r="T86" i="24" s="1"/>
  <c r="F90" i="3"/>
  <c r="T82" i="24" s="1"/>
  <c r="F86" i="3"/>
  <c r="T78" i="24" s="1"/>
  <c r="F82" i="3"/>
  <c r="T74" i="24" s="1"/>
  <c r="F78" i="3"/>
  <c r="T70" i="24" s="1"/>
  <c r="F74" i="3"/>
  <c r="T66" i="24" s="1"/>
  <c r="F70" i="3"/>
  <c r="T62" i="24" s="1"/>
  <c r="F46" i="3"/>
  <c r="T38" i="24" s="1"/>
  <c r="F50" i="3"/>
  <c r="T42" i="24" s="1"/>
  <c r="F54" i="3"/>
  <c r="T46" i="24" s="1"/>
  <c r="F62" i="3"/>
  <c r="T54" i="24" s="1"/>
  <c r="E38" i="3"/>
  <c r="F37" i="3"/>
  <c r="T29" i="24" s="1"/>
  <c r="F68" i="3"/>
  <c r="F64" i="3"/>
  <c r="T56" i="24" s="1"/>
  <c r="F60" i="3"/>
  <c r="T52" i="24" s="1"/>
  <c r="F56" i="3"/>
  <c r="T48" i="24" s="1"/>
  <c r="F52" i="3"/>
  <c r="T44" i="24" s="1"/>
  <c r="F48" i="3"/>
  <c r="T40" i="24" s="1"/>
  <c r="F44" i="3"/>
  <c r="T36" i="24" s="1"/>
  <c r="F40" i="3"/>
  <c r="T32" i="24" s="1"/>
  <c r="E36" i="3"/>
  <c r="F33" i="3"/>
  <c r="G109" i="3"/>
  <c r="H109" i="3" s="1"/>
  <c r="G97" i="3"/>
  <c r="H97" i="3" s="1"/>
  <c r="G85" i="3"/>
  <c r="H85" i="3" s="1"/>
  <c r="G73" i="3"/>
  <c r="H73" i="3" s="1"/>
  <c r="G61" i="3"/>
  <c r="G114" i="3"/>
  <c r="G112" i="3"/>
  <c r="H112" i="3" s="1"/>
  <c r="G101" i="3"/>
  <c r="H101" i="3" s="1"/>
  <c r="G89" i="3"/>
  <c r="H89" i="3" s="1"/>
  <c r="G77" i="3"/>
  <c r="H77" i="3" s="1"/>
  <c r="G65" i="3"/>
  <c r="H65" i="3" s="1"/>
  <c r="G108" i="3"/>
  <c r="H108" i="3" s="1"/>
  <c r="G84" i="3"/>
  <c r="H84" i="3" s="1"/>
  <c r="G76" i="3"/>
  <c r="H76" i="3" s="1"/>
  <c r="G66" i="3"/>
  <c r="H66" i="3" s="1"/>
  <c r="G105" i="3"/>
  <c r="H105" i="3" s="1"/>
  <c r="G93" i="3"/>
  <c r="H93" i="3" s="1"/>
  <c r="G81" i="3"/>
  <c r="G69" i="3"/>
  <c r="H69" i="3" s="1"/>
  <c r="G104" i="3"/>
  <c r="H104" i="3" s="1"/>
  <c r="G96" i="3"/>
  <c r="H96" i="3" s="1"/>
  <c r="G88" i="3"/>
  <c r="H88" i="3" s="1"/>
  <c r="G72" i="3"/>
  <c r="H72" i="3" s="1"/>
  <c r="G115" i="3"/>
  <c r="G111" i="3"/>
  <c r="H111" i="3" s="1"/>
  <c r="G107" i="3"/>
  <c r="H107" i="3" s="1"/>
  <c r="G103" i="3"/>
  <c r="H103" i="3" s="1"/>
  <c r="G99" i="3"/>
  <c r="H99" i="3" s="1"/>
  <c r="G95" i="3"/>
  <c r="H95" i="3" s="1"/>
  <c r="G91" i="3"/>
  <c r="H91" i="3" s="1"/>
  <c r="G87" i="3"/>
  <c r="H87" i="3" s="1"/>
  <c r="G83" i="3"/>
  <c r="H83" i="3" s="1"/>
  <c r="G79" i="3"/>
  <c r="G75" i="3"/>
  <c r="H75" i="3" s="1"/>
  <c r="G71" i="3"/>
  <c r="H71" i="3" s="1"/>
  <c r="G67" i="3"/>
  <c r="H67" i="3" s="1"/>
  <c r="G63" i="3"/>
  <c r="H63" i="3" s="1"/>
  <c r="G116" i="3"/>
  <c r="H116" i="3" s="1"/>
  <c r="E116" i="3"/>
  <c r="E111" i="3"/>
  <c r="E109" i="3"/>
  <c r="E107" i="3"/>
  <c r="E105" i="3"/>
  <c r="E103" i="3"/>
  <c r="E101" i="3"/>
  <c r="E99" i="3"/>
  <c r="E97" i="3"/>
  <c r="E95" i="3"/>
  <c r="E93" i="3"/>
  <c r="E91" i="3"/>
  <c r="E89" i="3"/>
  <c r="E87" i="3"/>
  <c r="E85" i="3"/>
  <c r="E83" i="3"/>
  <c r="E81" i="3"/>
  <c r="E79" i="3"/>
  <c r="E77" i="3"/>
  <c r="E75" i="3"/>
  <c r="E73" i="3"/>
  <c r="E71" i="3"/>
  <c r="E69" i="3"/>
  <c r="E67" i="3"/>
  <c r="E65" i="3"/>
  <c r="E63" i="3"/>
  <c r="E61" i="3"/>
  <c r="E59" i="3"/>
  <c r="E57" i="3"/>
  <c r="E55" i="3"/>
  <c r="E53" i="3"/>
  <c r="E51" i="3"/>
  <c r="E49" i="3"/>
  <c r="E47" i="3"/>
  <c r="E45" i="3"/>
  <c r="E43" i="3"/>
  <c r="E41" i="3"/>
  <c r="E39" i="3"/>
  <c r="F113" i="3"/>
  <c r="T105" i="24" s="1"/>
  <c r="F34" i="3"/>
  <c r="G100" i="3" l="1"/>
  <c r="H100" i="3" s="1"/>
  <c r="G92" i="3"/>
  <c r="H92" i="3" s="1"/>
  <c r="G80" i="3"/>
  <c r="O26" i="24"/>
  <c r="T26" i="24" s="1"/>
  <c r="G110" i="3"/>
  <c r="H110" i="3" s="1"/>
  <c r="G82" i="3"/>
  <c r="G78" i="3"/>
  <c r="G98" i="3"/>
  <c r="H98" i="3" s="1"/>
  <c r="G106" i="3"/>
  <c r="H106" i="3" s="1"/>
  <c r="G102" i="3"/>
  <c r="H102" i="3" s="1"/>
  <c r="G62" i="3"/>
  <c r="H62" i="3" s="1"/>
  <c r="G74" i="3"/>
  <c r="H74" i="3" s="1"/>
  <c r="G90" i="3"/>
  <c r="H90" i="3" s="1"/>
  <c r="G94" i="3"/>
  <c r="H94" i="3" s="1"/>
  <c r="G86" i="3"/>
  <c r="H86" i="3" s="1"/>
  <c r="G70" i="3"/>
  <c r="H70" i="3" s="1"/>
  <c r="G68" i="3"/>
  <c r="H68" i="3" s="1"/>
  <c r="T60" i="24"/>
  <c r="G64" i="3"/>
  <c r="H64" i="3" s="1"/>
  <c r="G60" i="3"/>
  <c r="H60" i="3" s="1"/>
  <c r="G113" i="3"/>
  <c r="H113" i="3" s="1"/>
  <c r="H9" i="24" l="1"/>
  <c r="H10" i="24"/>
  <c r="C24" i="48" s="1"/>
  <c r="H11" i="24"/>
  <c r="C25" i="48" s="1"/>
  <c r="H12" i="24"/>
  <c r="C26" i="48" s="1"/>
  <c r="H13" i="24"/>
  <c r="C27" i="48" s="1"/>
  <c r="H14" i="24"/>
  <c r="C28" i="48" s="1"/>
  <c r="H15" i="24"/>
  <c r="C29" i="48" s="1"/>
  <c r="H16" i="24"/>
  <c r="C30" i="48" s="1"/>
  <c r="H17" i="24"/>
  <c r="C31" i="48" s="1"/>
  <c r="H18" i="24"/>
  <c r="C32" i="48" s="1"/>
  <c r="H19" i="24"/>
  <c r="C33" i="48" s="1"/>
  <c r="H20" i="24"/>
  <c r="C34" i="48" s="1"/>
  <c r="H21" i="24"/>
  <c r="C35" i="48" s="1"/>
  <c r="H22" i="24"/>
  <c r="C36" i="48" s="1"/>
  <c r="H23" i="24"/>
  <c r="C37" i="48" s="1"/>
  <c r="H24" i="24"/>
  <c r="C38" i="48" s="1"/>
  <c r="H25" i="24"/>
  <c r="C39" i="48" s="1"/>
  <c r="H26" i="24"/>
  <c r="C40" i="48" s="1"/>
  <c r="H27" i="24"/>
  <c r="C41" i="48" s="1"/>
  <c r="H28" i="24"/>
  <c r="C42" i="48" s="1"/>
  <c r="H29" i="24"/>
  <c r="C43" i="48" s="1"/>
  <c r="H30" i="24"/>
  <c r="C44" i="48" s="1"/>
  <c r="H31" i="24"/>
  <c r="C45" i="48" s="1"/>
  <c r="H32" i="24"/>
  <c r="C46" i="48" s="1"/>
  <c r="H33" i="24"/>
  <c r="C47" i="48" s="1"/>
  <c r="H34" i="24"/>
  <c r="C48" i="48" s="1"/>
  <c r="H35" i="24"/>
  <c r="C49" i="48" s="1"/>
  <c r="H36" i="24"/>
  <c r="C50" i="48" s="1"/>
  <c r="H37" i="24"/>
  <c r="C51" i="48" s="1"/>
  <c r="H38" i="24"/>
  <c r="C52" i="48" s="1"/>
  <c r="H39" i="24"/>
  <c r="C53" i="48" s="1"/>
  <c r="H40" i="24"/>
  <c r="C54" i="48" s="1"/>
  <c r="H41" i="24"/>
  <c r="C55" i="48" s="1"/>
  <c r="H42" i="24"/>
  <c r="C56" i="48" s="1"/>
  <c r="H43" i="24"/>
  <c r="C57" i="48" s="1"/>
  <c r="H44" i="24"/>
  <c r="C58" i="48" s="1"/>
  <c r="H45" i="24"/>
  <c r="C59" i="48" s="1"/>
  <c r="H46" i="24"/>
  <c r="C60" i="48" s="1"/>
  <c r="H47" i="24"/>
  <c r="C61" i="48" s="1"/>
  <c r="H48" i="24"/>
  <c r="C62" i="48" s="1"/>
  <c r="H49" i="24"/>
  <c r="C63" i="48" s="1"/>
  <c r="H50" i="24"/>
  <c r="C64" i="48" s="1"/>
  <c r="H51" i="24"/>
  <c r="C65" i="48" s="1"/>
  <c r="H52" i="24"/>
  <c r="C66" i="48" s="1"/>
  <c r="H53" i="24"/>
  <c r="C67" i="48" s="1"/>
  <c r="H54" i="24"/>
  <c r="C68" i="48" s="1"/>
  <c r="H55" i="24"/>
  <c r="C69" i="48" s="1"/>
  <c r="H56" i="24"/>
  <c r="C70" i="48" s="1"/>
  <c r="H57" i="24"/>
  <c r="C71" i="48" s="1"/>
  <c r="H58" i="24"/>
  <c r="C72" i="48" s="1"/>
  <c r="H59" i="24"/>
  <c r="C73" i="48" s="1"/>
  <c r="H60" i="24"/>
  <c r="C74" i="48" s="1"/>
  <c r="H61" i="24"/>
  <c r="C75" i="48" s="1"/>
  <c r="H62" i="24"/>
  <c r="C76" i="48" s="1"/>
  <c r="H63" i="24"/>
  <c r="C77" i="48" s="1"/>
  <c r="H64" i="24"/>
  <c r="C78" i="48" s="1"/>
  <c r="H65" i="24"/>
  <c r="C79" i="48" s="1"/>
  <c r="H66" i="24"/>
  <c r="C80" i="48" s="1"/>
  <c r="H67" i="24"/>
  <c r="C81" i="48" s="1"/>
  <c r="H68" i="24"/>
  <c r="C82" i="48" s="1"/>
  <c r="H69" i="24"/>
  <c r="C83" i="48" s="1"/>
  <c r="H70" i="24"/>
  <c r="C84" i="48" s="1"/>
  <c r="H71" i="24"/>
  <c r="C85" i="48" s="1"/>
  <c r="H72" i="24"/>
  <c r="C86" i="48" s="1"/>
  <c r="H73" i="24"/>
  <c r="C87" i="48" s="1"/>
  <c r="H74" i="24"/>
  <c r="C88" i="48" s="1"/>
  <c r="H75" i="24"/>
  <c r="C89" i="48" s="1"/>
  <c r="H76" i="24"/>
  <c r="C90" i="48" s="1"/>
  <c r="H77" i="24"/>
  <c r="C91" i="48" s="1"/>
  <c r="H78" i="24"/>
  <c r="C92" i="48" s="1"/>
  <c r="H79" i="24"/>
  <c r="C93" i="48" s="1"/>
  <c r="H80" i="24"/>
  <c r="C94" i="48" s="1"/>
  <c r="H81" i="24"/>
  <c r="C95" i="48" s="1"/>
  <c r="H82" i="24"/>
  <c r="C96" i="48" s="1"/>
  <c r="H83" i="24"/>
  <c r="C97" i="48" s="1"/>
  <c r="H84" i="24"/>
  <c r="C98" i="48" s="1"/>
  <c r="H85" i="24"/>
  <c r="C99" i="48" s="1"/>
  <c r="H86" i="24"/>
  <c r="C100" i="48" s="1"/>
  <c r="H87" i="24"/>
  <c r="C101" i="48" s="1"/>
  <c r="H88" i="24"/>
  <c r="C102" i="48" s="1"/>
  <c r="H89" i="24"/>
  <c r="C103" i="48" s="1"/>
  <c r="H90" i="24"/>
  <c r="C104" i="48" s="1"/>
  <c r="H91" i="24"/>
  <c r="C105" i="48" s="1"/>
  <c r="H92" i="24"/>
  <c r="C106" i="48" s="1"/>
  <c r="H93" i="24"/>
  <c r="C107" i="48" s="1"/>
  <c r="H94" i="24"/>
  <c r="C108" i="48" s="1"/>
  <c r="H95" i="24"/>
  <c r="C109" i="48" s="1"/>
  <c r="H96" i="24"/>
  <c r="C110" i="48" s="1"/>
  <c r="H97" i="24"/>
  <c r="C111" i="48" s="1"/>
  <c r="H98" i="24"/>
  <c r="C112" i="48" s="1"/>
  <c r="H99" i="24"/>
  <c r="C113" i="48" s="1"/>
  <c r="H100" i="24"/>
  <c r="C114" i="48" s="1"/>
  <c r="H101" i="24"/>
  <c r="C115" i="48" s="1"/>
  <c r="H102" i="24"/>
  <c r="C116" i="48" s="1"/>
  <c r="H103" i="24"/>
  <c r="C117" i="48" s="1"/>
  <c r="H104" i="24"/>
  <c r="C118" i="48" s="1"/>
  <c r="H105" i="24"/>
  <c r="C119" i="48" s="1"/>
  <c r="H106" i="24"/>
  <c r="C120" i="48" s="1"/>
  <c r="H107" i="24"/>
  <c r="C121" i="48" s="1"/>
  <c r="H108" i="24"/>
  <c r="C122" i="48" s="1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K3" i="27" l="1"/>
  <c r="A2" i="49" l="1"/>
  <c r="E2" i="41" l="1"/>
  <c r="D2" i="41"/>
  <c r="B128" i="3" l="1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F37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3" i="2"/>
  <c r="F32" i="2"/>
  <c r="F35" i="2"/>
  <c r="F34" i="2"/>
  <c r="F37" i="2"/>
  <c r="F36" i="2"/>
  <c r="F39" i="2"/>
  <c r="F38" i="2"/>
  <c r="I115" i="3"/>
  <c r="H115" i="3" s="1"/>
  <c r="I114" i="3"/>
  <c r="H114" i="3" s="1"/>
  <c r="V20" i="27"/>
  <c r="B23" i="48"/>
  <c r="E19" i="48"/>
  <c r="B19" i="48"/>
  <c r="A19" i="48"/>
  <c r="A8" i="48"/>
  <c r="A6" i="48"/>
  <c r="A5" i="48"/>
  <c r="B4" i="48"/>
  <c r="A4" i="48"/>
  <c r="O21" i="48"/>
  <c r="M21" i="48"/>
  <c r="J21" i="48"/>
  <c r="G21" i="48"/>
  <c r="N23" i="24" l="1"/>
  <c r="S23" i="24" s="1"/>
  <c r="N12" i="24"/>
  <c r="N15" i="24"/>
  <c r="N18" i="24"/>
  <c r="N20" i="24"/>
  <c r="S20" i="24" s="1"/>
  <c r="N24" i="24"/>
  <c r="G32" i="3" s="1"/>
  <c r="H32" i="3" s="1"/>
  <c r="N25" i="24"/>
  <c r="N13" i="24"/>
  <c r="S13" i="24" s="1"/>
  <c r="N19" i="24"/>
  <c r="N22" i="24"/>
  <c r="S22" i="24" s="1"/>
  <c r="N10" i="24"/>
  <c r="S10" i="24" s="1"/>
  <c r="N17" i="24"/>
  <c r="N21" i="24"/>
  <c r="S21" i="24" s="1"/>
  <c r="N11" i="24"/>
  <c r="S11" i="24" s="1"/>
  <c r="N14" i="24"/>
  <c r="S14" i="24" s="1"/>
  <c r="N16" i="24"/>
  <c r="N9" i="24"/>
  <c r="G46" i="3"/>
  <c r="H46" i="3" s="1"/>
  <c r="G54" i="3"/>
  <c r="H54" i="3" s="1"/>
  <c r="G48" i="3"/>
  <c r="H48" i="3" s="1"/>
  <c r="G42" i="3"/>
  <c r="H42" i="3" s="1"/>
  <c r="G36" i="3"/>
  <c r="H36" i="3" s="1"/>
  <c r="G59" i="3"/>
  <c r="H59" i="3" s="1"/>
  <c r="G53" i="3"/>
  <c r="H53" i="3" s="1"/>
  <c r="G47" i="3"/>
  <c r="H47" i="3" s="1"/>
  <c r="G41" i="3"/>
  <c r="H41" i="3" s="1"/>
  <c r="G35" i="3"/>
  <c r="H35" i="3" s="1"/>
  <c r="G58" i="3"/>
  <c r="H58" i="3" s="1"/>
  <c r="G40" i="3"/>
  <c r="H40" i="3" s="1"/>
  <c r="G57" i="3"/>
  <c r="H57" i="3" s="1"/>
  <c r="G45" i="3"/>
  <c r="H45" i="3" s="1"/>
  <c r="G39" i="3"/>
  <c r="H39" i="3" s="1"/>
  <c r="G56" i="3"/>
  <c r="H56" i="3" s="1"/>
  <c r="G50" i="3"/>
  <c r="H50" i="3" s="1"/>
  <c r="G44" i="3"/>
  <c r="H44" i="3" s="1"/>
  <c r="G38" i="3"/>
  <c r="H38" i="3" s="1"/>
  <c r="G52" i="3"/>
  <c r="H52" i="3" s="1"/>
  <c r="G34" i="3"/>
  <c r="H34" i="3" s="1"/>
  <c r="G51" i="3"/>
  <c r="H51" i="3" s="1"/>
  <c r="G55" i="3"/>
  <c r="H55" i="3" s="1"/>
  <c r="G49" i="3"/>
  <c r="H49" i="3" s="1"/>
  <c r="G43" i="3"/>
  <c r="H43" i="3" s="1"/>
  <c r="G37" i="3"/>
  <c r="H37" i="3" s="1"/>
  <c r="D11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D12" i="49"/>
  <c r="C12" i="49"/>
  <c r="B12" i="49"/>
  <c r="A8" i="49"/>
  <c r="A6" i="49"/>
  <c r="A5" i="49"/>
  <c r="C4" i="49"/>
  <c r="A4" i="49"/>
  <c r="S25" i="24" l="1"/>
  <c r="O25" i="24"/>
  <c r="S24" i="24"/>
  <c r="O24" i="24"/>
  <c r="G33" i="3"/>
  <c r="H33" i="3" s="1"/>
  <c r="N35" i="25"/>
  <c r="O35" i="25"/>
  <c r="N36" i="25"/>
  <c r="O36" i="25"/>
  <c r="N37" i="25"/>
  <c r="O37" i="25"/>
  <c r="N38" i="25"/>
  <c r="O38" i="25"/>
  <c r="N39" i="25"/>
  <c r="O39" i="25"/>
  <c r="N40" i="25"/>
  <c r="O40" i="25"/>
  <c r="N41" i="25"/>
  <c r="O41" i="25"/>
  <c r="N42" i="25"/>
  <c r="O42" i="25"/>
  <c r="N43" i="25"/>
  <c r="O43" i="25"/>
  <c r="N44" i="25"/>
  <c r="O44" i="25"/>
  <c r="N45" i="25"/>
  <c r="O45" i="25"/>
  <c r="N46" i="25"/>
  <c r="O46" i="25"/>
  <c r="N47" i="25"/>
  <c r="O47" i="25"/>
  <c r="N48" i="25"/>
  <c r="O48" i="25"/>
  <c r="N49" i="25"/>
  <c r="O49" i="25"/>
  <c r="N50" i="25"/>
  <c r="O50" i="25"/>
  <c r="N51" i="25"/>
  <c r="O51" i="25"/>
  <c r="N52" i="25"/>
  <c r="O52" i="25"/>
  <c r="N53" i="25"/>
  <c r="O53" i="25"/>
  <c r="N54" i="25"/>
  <c r="O54" i="25"/>
  <c r="N55" i="25"/>
  <c r="O55" i="25"/>
  <c r="N56" i="25"/>
  <c r="O56" i="25"/>
  <c r="N57" i="25"/>
  <c r="O57" i="25"/>
  <c r="N58" i="25"/>
  <c r="O58" i="25"/>
  <c r="N59" i="25"/>
  <c r="O59" i="25"/>
  <c r="N60" i="25"/>
  <c r="O60" i="25"/>
  <c r="N61" i="25"/>
  <c r="O61" i="25"/>
  <c r="N62" i="25"/>
  <c r="O62" i="25"/>
  <c r="N63" i="25"/>
  <c r="O63" i="25"/>
  <c r="N64" i="25"/>
  <c r="O64" i="25"/>
  <c r="N65" i="25"/>
  <c r="O65" i="25"/>
  <c r="N66" i="25"/>
  <c r="O66" i="25"/>
  <c r="N67" i="25"/>
  <c r="O67" i="25"/>
  <c r="N68" i="25"/>
  <c r="O68" i="25"/>
  <c r="N69" i="25"/>
  <c r="O69" i="25"/>
  <c r="N70" i="25"/>
  <c r="O70" i="25"/>
  <c r="N71" i="25"/>
  <c r="O71" i="25"/>
  <c r="N72" i="25"/>
  <c r="O72" i="25"/>
  <c r="N73" i="25"/>
  <c r="O73" i="25"/>
  <c r="N74" i="25"/>
  <c r="O74" i="25"/>
  <c r="N75" i="25"/>
  <c r="O75" i="25"/>
  <c r="N76" i="25"/>
  <c r="O76" i="25"/>
  <c r="N77" i="25"/>
  <c r="O77" i="25"/>
  <c r="N78" i="25"/>
  <c r="O78" i="25"/>
  <c r="N79" i="25"/>
  <c r="O79" i="25"/>
  <c r="N80" i="25"/>
  <c r="O80" i="25"/>
  <c r="N81" i="25"/>
  <c r="O81" i="25"/>
  <c r="N82" i="25"/>
  <c r="O82" i="25"/>
  <c r="N83" i="25"/>
  <c r="O83" i="25"/>
  <c r="N84" i="25"/>
  <c r="O84" i="25"/>
  <c r="N85" i="25"/>
  <c r="O85" i="25"/>
  <c r="N86" i="25"/>
  <c r="O86" i="25"/>
  <c r="N87" i="25"/>
  <c r="O87" i="25"/>
  <c r="N88" i="25"/>
  <c r="O88" i="25"/>
  <c r="N89" i="25"/>
  <c r="O89" i="25"/>
  <c r="N90" i="25"/>
  <c r="O90" i="25"/>
  <c r="N91" i="25"/>
  <c r="O91" i="25"/>
  <c r="N92" i="25"/>
  <c r="O92" i="25"/>
  <c r="N93" i="25"/>
  <c r="O93" i="25"/>
  <c r="N94" i="25"/>
  <c r="O94" i="25"/>
  <c r="N95" i="25"/>
  <c r="O95" i="25"/>
  <c r="N96" i="25"/>
  <c r="O96" i="25"/>
  <c r="N97" i="25"/>
  <c r="O97" i="25"/>
  <c r="N98" i="25"/>
  <c r="O98" i="25"/>
  <c r="N99" i="25"/>
  <c r="O99" i="25"/>
  <c r="N100" i="25"/>
  <c r="O100" i="25"/>
  <c r="N101" i="25"/>
  <c r="O101" i="25"/>
  <c r="N102" i="25"/>
  <c r="O102" i="25"/>
  <c r="N103" i="25"/>
  <c r="O103" i="25"/>
  <c r="N104" i="25"/>
  <c r="O104" i="25"/>
  <c r="N105" i="25"/>
  <c r="O105" i="25"/>
  <c r="N106" i="25"/>
  <c r="O106" i="25"/>
  <c r="N107" i="25"/>
  <c r="O107" i="25"/>
  <c r="N108" i="25"/>
  <c r="O108" i="25"/>
  <c r="N109" i="25"/>
  <c r="O109" i="25"/>
  <c r="N110" i="25"/>
  <c r="O110" i="25"/>
  <c r="N111" i="25"/>
  <c r="O111" i="25"/>
  <c r="N112" i="25"/>
  <c r="O112" i="25"/>
  <c r="N113" i="25"/>
  <c r="O113" i="25"/>
  <c r="N114" i="25"/>
  <c r="O114" i="25"/>
  <c r="N115" i="25"/>
  <c r="O115" i="25"/>
  <c r="N116" i="25"/>
  <c r="O116" i="25"/>
  <c r="N117" i="25"/>
  <c r="O117" i="25"/>
  <c r="N118" i="25"/>
  <c r="O118" i="25"/>
  <c r="N119" i="25"/>
  <c r="O119" i="25"/>
  <c r="N120" i="25"/>
  <c r="O120" i="25"/>
  <c r="N121" i="25"/>
  <c r="O121" i="25"/>
  <c r="N122" i="25"/>
  <c r="O122" i="25"/>
  <c r="N123" i="25"/>
  <c r="O123" i="25"/>
  <c r="N124" i="25"/>
  <c r="O124" i="25"/>
  <c r="N125" i="25"/>
  <c r="O125" i="25"/>
  <c r="N126" i="25"/>
  <c r="O126" i="25"/>
  <c r="N127" i="25"/>
  <c r="O127" i="25"/>
  <c r="N128" i="25"/>
  <c r="O128" i="25"/>
  <c r="N129" i="25"/>
  <c r="O129" i="25"/>
  <c r="N130" i="25"/>
  <c r="O130" i="25"/>
  <c r="N131" i="25"/>
  <c r="O131" i="25"/>
  <c r="N132" i="25"/>
  <c r="O132" i="25"/>
  <c r="N133" i="25"/>
  <c r="O133" i="25"/>
  <c r="N134" i="25"/>
  <c r="O134" i="25"/>
  <c r="N135" i="25"/>
  <c r="O135" i="25"/>
  <c r="N136" i="25"/>
  <c r="O136" i="25"/>
  <c r="N137" i="25"/>
  <c r="O137" i="25"/>
  <c r="N138" i="25"/>
  <c r="O138" i="25"/>
  <c r="N139" i="25"/>
  <c r="O139" i="25"/>
  <c r="N140" i="25"/>
  <c r="O140" i="25"/>
  <c r="N141" i="25"/>
  <c r="O141" i="25"/>
  <c r="N142" i="25"/>
  <c r="O142" i="25"/>
  <c r="N143" i="25"/>
  <c r="O143" i="25"/>
  <c r="N144" i="25"/>
  <c r="O144" i="25"/>
  <c r="N145" i="25"/>
  <c r="O145" i="25"/>
  <c r="N146" i="25"/>
  <c r="O146" i="25"/>
  <c r="N147" i="25"/>
  <c r="O147" i="25"/>
  <c r="N148" i="25"/>
  <c r="O148" i="25"/>
  <c r="N149" i="25"/>
  <c r="O149" i="25"/>
  <c r="N150" i="25"/>
  <c r="O150" i="25"/>
  <c r="N151" i="25"/>
  <c r="O151" i="25"/>
  <c r="N152" i="25"/>
  <c r="O152" i="25"/>
  <c r="N153" i="25"/>
  <c r="O153" i="25"/>
  <c r="N154" i="25"/>
  <c r="O154" i="25"/>
  <c r="N155" i="25"/>
  <c r="O155" i="25"/>
  <c r="N156" i="25"/>
  <c r="O156" i="25"/>
  <c r="N157" i="25"/>
  <c r="O157" i="25"/>
  <c r="N158" i="25"/>
  <c r="O158" i="25"/>
  <c r="N159" i="25"/>
  <c r="O159" i="25"/>
  <c r="N160" i="25"/>
  <c r="O160" i="25"/>
  <c r="N161" i="25"/>
  <c r="O161" i="25"/>
  <c r="N162" i="25"/>
  <c r="O162" i="25"/>
  <c r="N163" i="25"/>
  <c r="O163" i="25"/>
  <c r="N164" i="25"/>
  <c r="O164" i="25"/>
  <c r="N165" i="25"/>
  <c r="O165" i="25"/>
  <c r="N166" i="25"/>
  <c r="O166" i="25"/>
  <c r="N167" i="25"/>
  <c r="O167" i="25"/>
  <c r="N168" i="25"/>
  <c r="O168" i="25"/>
  <c r="N169" i="25"/>
  <c r="O169" i="25"/>
  <c r="N170" i="25"/>
  <c r="O170" i="25"/>
  <c r="N171" i="25"/>
  <c r="O171" i="25"/>
  <c r="N172" i="25"/>
  <c r="O172" i="25"/>
  <c r="N173" i="25"/>
  <c r="O173" i="25"/>
  <c r="N174" i="25"/>
  <c r="O174" i="25"/>
  <c r="N175" i="25"/>
  <c r="O175" i="25"/>
  <c r="N176" i="25"/>
  <c r="O176" i="25"/>
  <c r="N177" i="25"/>
  <c r="O177" i="25"/>
  <c r="N178" i="25"/>
  <c r="O178" i="25"/>
  <c r="N179" i="25"/>
  <c r="O179" i="25"/>
  <c r="N180" i="25"/>
  <c r="O180" i="25"/>
  <c r="N181" i="25"/>
  <c r="O181" i="25"/>
  <c r="N182" i="25"/>
  <c r="O182" i="25"/>
  <c r="N183" i="25"/>
  <c r="O183" i="25"/>
  <c r="N184" i="25"/>
  <c r="O184" i="25"/>
  <c r="N185" i="25"/>
  <c r="O185" i="25"/>
  <c r="N186" i="25"/>
  <c r="O186" i="25"/>
  <c r="N187" i="25"/>
  <c r="O187" i="25"/>
  <c r="N188" i="25"/>
  <c r="O188" i="25"/>
  <c r="N189" i="25"/>
  <c r="O189" i="25"/>
  <c r="N190" i="25"/>
  <c r="O190" i="25"/>
  <c r="N191" i="25"/>
  <c r="O191" i="25"/>
  <c r="N192" i="25"/>
  <c r="O192" i="25"/>
  <c r="N193" i="25"/>
  <c r="O193" i="25"/>
  <c r="N194" i="25"/>
  <c r="O194" i="25"/>
  <c r="N195" i="25"/>
  <c r="O195" i="25"/>
  <c r="N196" i="25"/>
  <c r="O196" i="25"/>
  <c r="N197" i="25"/>
  <c r="O197" i="25"/>
  <c r="N198" i="25"/>
  <c r="O198" i="25"/>
  <c r="N199" i="25"/>
  <c r="O199" i="25"/>
  <c r="N200" i="25"/>
  <c r="O200" i="25"/>
  <c r="N201" i="25"/>
  <c r="O201" i="25"/>
  <c r="N202" i="25"/>
  <c r="O202" i="25"/>
  <c r="N203" i="25"/>
  <c r="O203" i="25"/>
  <c r="N204" i="25"/>
  <c r="O204" i="25"/>
  <c r="N205" i="25"/>
  <c r="O205" i="25"/>
  <c r="N206" i="25"/>
  <c r="O206" i="25"/>
  <c r="N207" i="25"/>
  <c r="O207" i="25"/>
  <c r="N208" i="25"/>
  <c r="O208" i="25"/>
  <c r="N209" i="25"/>
  <c r="O209" i="25"/>
  <c r="N210" i="25"/>
  <c r="O210" i="25"/>
  <c r="N211" i="25"/>
  <c r="O211" i="25"/>
  <c r="N212" i="25"/>
  <c r="O212" i="25"/>
  <c r="N213" i="25"/>
  <c r="O213" i="25"/>
  <c r="N214" i="25"/>
  <c r="O214" i="25"/>
  <c r="N215" i="25"/>
  <c r="O215" i="25"/>
  <c r="N216" i="25"/>
  <c r="O216" i="25"/>
  <c r="N217" i="25"/>
  <c r="O217" i="25"/>
  <c r="N218" i="25"/>
  <c r="O218" i="25"/>
  <c r="N219" i="25"/>
  <c r="O219" i="25"/>
  <c r="N220" i="25"/>
  <c r="O220" i="25"/>
  <c r="N221" i="25"/>
  <c r="O221" i="25"/>
  <c r="N222" i="25"/>
  <c r="O222" i="25"/>
  <c r="N223" i="25"/>
  <c r="O223" i="25"/>
  <c r="N224" i="25"/>
  <c r="O224" i="25"/>
  <c r="N225" i="25"/>
  <c r="O225" i="25"/>
  <c r="N226" i="25"/>
  <c r="O226" i="25"/>
  <c r="N227" i="25"/>
  <c r="O227" i="25"/>
  <c r="N228" i="25"/>
  <c r="O228" i="25"/>
  <c r="N229" i="25"/>
  <c r="O229" i="25"/>
  <c r="N230" i="25"/>
  <c r="O230" i="25"/>
  <c r="N231" i="25"/>
  <c r="O231" i="25"/>
  <c r="N232" i="25"/>
  <c r="O232" i="25"/>
  <c r="N233" i="25"/>
  <c r="O233" i="25"/>
  <c r="N234" i="25"/>
  <c r="O234" i="25"/>
  <c r="N235" i="25"/>
  <c r="O235" i="25"/>
  <c r="N236" i="25"/>
  <c r="O236" i="25"/>
  <c r="N237" i="25"/>
  <c r="O237" i="25"/>
  <c r="N238" i="25"/>
  <c r="O238" i="25"/>
  <c r="N239" i="25"/>
  <c r="O239" i="25"/>
  <c r="N240" i="25"/>
  <c r="O240" i="25"/>
  <c r="N241" i="25"/>
  <c r="O241" i="25"/>
  <c r="N242" i="25"/>
  <c r="O242" i="25"/>
  <c r="N243" i="25"/>
  <c r="O243" i="25"/>
  <c r="N244" i="25"/>
  <c r="O244" i="25"/>
  <c r="N245" i="25"/>
  <c r="O245" i="25"/>
  <c r="N246" i="25"/>
  <c r="O246" i="25"/>
  <c r="N247" i="25"/>
  <c r="O247" i="25"/>
  <c r="N248" i="25"/>
  <c r="O248" i="25"/>
  <c r="N249" i="25"/>
  <c r="O249" i="25"/>
  <c r="N250" i="25"/>
  <c r="O250" i="25"/>
  <c r="N251" i="25"/>
  <c r="O251" i="25"/>
  <c r="N252" i="25"/>
  <c r="O252" i="25"/>
  <c r="N253" i="25"/>
  <c r="O253" i="25"/>
  <c r="N254" i="25"/>
  <c r="O254" i="25"/>
  <c r="N255" i="25"/>
  <c r="O255" i="25"/>
  <c r="N256" i="25"/>
  <c r="O256" i="25"/>
  <c r="N257" i="25"/>
  <c r="O257" i="25"/>
  <c r="N258" i="25"/>
  <c r="O258" i="25"/>
  <c r="N259" i="25"/>
  <c r="O259" i="25"/>
  <c r="N260" i="25"/>
  <c r="O260" i="25"/>
  <c r="N261" i="25"/>
  <c r="O261" i="25"/>
  <c r="N262" i="25"/>
  <c r="O262" i="25"/>
  <c r="N263" i="25"/>
  <c r="O263" i="25"/>
  <c r="N264" i="25"/>
  <c r="O264" i="25"/>
  <c r="N265" i="25"/>
  <c r="O265" i="25"/>
  <c r="N266" i="25"/>
  <c r="O266" i="25"/>
  <c r="N267" i="25"/>
  <c r="O267" i="25"/>
  <c r="N268" i="25"/>
  <c r="O268" i="25"/>
  <c r="N269" i="25"/>
  <c r="O269" i="25"/>
  <c r="N270" i="25"/>
  <c r="O270" i="25"/>
  <c r="N271" i="25"/>
  <c r="O271" i="25"/>
  <c r="N272" i="25"/>
  <c r="O272" i="25"/>
  <c r="N273" i="25"/>
  <c r="O273" i="25"/>
  <c r="N274" i="25"/>
  <c r="O274" i="25"/>
  <c r="N275" i="25"/>
  <c r="O275" i="25"/>
  <c r="N276" i="25"/>
  <c r="O276" i="25"/>
  <c r="N277" i="25"/>
  <c r="O277" i="25"/>
  <c r="N278" i="25"/>
  <c r="O278" i="25"/>
  <c r="N279" i="25"/>
  <c r="O279" i="25"/>
  <c r="N280" i="25"/>
  <c r="O280" i="25"/>
  <c r="N281" i="25"/>
  <c r="O281" i="25"/>
  <c r="N282" i="25"/>
  <c r="O282" i="25"/>
  <c r="N283" i="25"/>
  <c r="O283" i="25"/>
  <c r="N284" i="25"/>
  <c r="O284" i="25"/>
  <c r="N285" i="25"/>
  <c r="O285" i="25"/>
  <c r="N286" i="25"/>
  <c r="O286" i="25"/>
  <c r="N287" i="25"/>
  <c r="O287" i="25"/>
  <c r="N288" i="25"/>
  <c r="O288" i="25"/>
  <c r="N289" i="25"/>
  <c r="O289" i="25"/>
  <c r="N290" i="25"/>
  <c r="O290" i="25"/>
  <c r="N291" i="25"/>
  <c r="O291" i="25"/>
  <c r="N292" i="25"/>
  <c r="O292" i="25"/>
  <c r="N293" i="25"/>
  <c r="O293" i="25"/>
  <c r="N294" i="25"/>
  <c r="O294" i="25"/>
  <c r="N295" i="25"/>
  <c r="O295" i="25"/>
  <c r="N296" i="25"/>
  <c r="O296" i="25"/>
  <c r="N297" i="25"/>
  <c r="O297" i="25"/>
  <c r="N298" i="25"/>
  <c r="O298" i="25"/>
  <c r="N299" i="25"/>
  <c r="O299" i="25"/>
  <c r="N300" i="25"/>
  <c r="O300" i="25"/>
  <c r="N301" i="25"/>
  <c r="O301" i="25"/>
  <c r="N302" i="25"/>
  <c r="O302" i="25"/>
  <c r="N303" i="25"/>
  <c r="O303" i="25"/>
  <c r="N304" i="25"/>
  <c r="O304" i="25"/>
  <c r="N305" i="25"/>
  <c r="O305" i="25"/>
  <c r="N306" i="25"/>
  <c r="O306" i="25"/>
  <c r="N307" i="25"/>
  <c r="O307" i="25"/>
  <c r="N308" i="25"/>
  <c r="O308" i="25"/>
  <c r="N309" i="25"/>
  <c r="O309" i="25"/>
  <c r="N310" i="25"/>
  <c r="O310" i="25"/>
  <c r="N311" i="25"/>
  <c r="O311" i="25"/>
  <c r="N312" i="25"/>
  <c r="O312" i="25"/>
  <c r="N313" i="25"/>
  <c r="O313" i="25"/>
  <c r="N314" i="25"/>
  <c r="O314" i="25"/>
  <c r="N315" i="25"/>
  <c r="O315" i="25"/>
  <c r="N316" i="25"/>
  <c r="O316" i="25"/>
  <c r="N317" i="25"/>
  <c r="O317" i="25"/>
  <c r="N318" i="25"/>
  <c r="O318" i="25"/>
  <c r="N319" i="25"/>
  <c r="O319" i="25"/>
  <c r="N320" i="25"/>
  <c r="O320" i="25"/>
  <c r="N321" i="25"/>
  <c r="O321" i="25"/>
  <c r="N322" i="25"/>
  <c r="O322" i="25"/>
  <c r="N323" i="25"/>
  <c r="O323" i="25"/>
  <c r="N324" i="25"/>
  <c r="O324" i="25"/>
  <c r="N325" i="25"/>
  <c r="O325" i="25"/>
  <c r="N326" i="25"/>
  <c r="O326" i="25"/>
  <c r="N327" i="25"/>
  <c r="O327" i="25"/>
  <c r="N328" i="25"/>
  <c r="O328" i="25"/>
  <c r="N329" i="25"/>
  <c r="O329" i="25"/>
  <c r="N330" i="25"/>
  <c r="O330" i="25"/>
  <c r="N331" i="25"/>
  <c r="O331" i="25"/>
  <c r="N332" i="25"/>
  <c r="O332" i="25"/>
  <c r="N333" i="25"/>
  <c r="O333" i="25"/>
  <c r="N334" i="25"/>
  <c r="O334" i="25"/>
  <c r="N335" i="25"/>
  <c r="O335" i="25"/>
  <c r="N336" i="25"/>
  <c r="O336" i="25"/>
  <c r="N337" i="25"/>
  <c r="O337" i="25"/>
  <c r="N338" i="25"/>
  <c r="O338" i="25"/>
  <c r="N339" i="25"/>
  <c r="O339" i="25"/>
  <c r="N340" i="25"/>
  <c r="O340" i="25"/>
  <c r="N341" i="25"/>
  <c r="O341" i="25"/>
  <c r="N342" i="25"/>
  <c r="O342" i="25"/>
  <c r="N343" i="25"/>
  <c r="O343" i="25"/>
  <c r="N344" i="25"/>
  <c r="O344" i="25"/>
  <c r="N345" i="25"/>
  <c r="O345" i="25"/>
  <c r="N346" i="25"/>
  <c r="O346" i="25"/>
  <c r="N347" i="25"/>
  <c r="O347" i="25"/>
  <c r="N348" i="25"/>
  <c r="O348" i="25"/>
  <c r="N349" i="25"/>
  <c r="O349" i="25"/>
  <c r="N350" i="25"/>
  <c r="O350" i="25"/>
  <c r="N351" i="25"/>
  <c r="O351" i="25"/>
  <c r="N352" i="25"/>
  <c r="O352" i="25"/>
  <c r="N353" i="25"/>
  <c r="O353" i="25"/>
  <c r="N354" i="25"/>
  <c r="O354" i="25"/>
  <c r="N355" i="25"/>
  <c r="O355" i="25"/>
  <c r="N356" i="25"/>
  <c r="O356" i="25"/>
  <c r="I35" i="25"/>
  <c r="J35" i="25"/>
  <c r="K35" i="25"/>
  <c r="I36" i="25"/>
  <c r="J36" i="25"/>
  <c r="K36" i="25"/>
  <c r="I37" i="25"/>
  <c r="J37" i="25"/>
  <c r="K37" i="25"/>
  <c r="I38" i="25"/>
  <c r="J38" i="25"/>
  <c r="K38" i="25"/>
  <c r="I39" i="25"/>
  <c r="J39" i="25"/>
  <c r="K39" i="25"/>
  <c r="I40" i="25"/>
  <c r="J40" i="25"/>
  <c r="K40" i="25"/>
  <c r="I41" i="25"/>
  <c r="J41" i="25"/>
  <c r="K41" i="25"/>
  <c r="I42" i="25"/>
  <c r="J42" i="25"/>
  <c r="K42" i="25"/>
  <c r="I43" i="25"/>
  <c r="J43" i="25"/>
  <c r="K43" i="25"/>
  <c r="I44" i="25"/>
  <c r="J44" i="25"/>
  <c r="K44" i="25"/>
  <c r="I45" i="25"/>
  <c r="J45" i="25"/>
  <c r="K45" i="25"/>
  <c r="I46" i="25"/>
  <c r="J46" i="25"/>
  <c r="K46" i="25"/>
  <c r="I47" i="25"/>
  <c r="J47" i="25"/>
  <c r="K47" i="25"/>
  <c r="I48" i="25"/>
  <c r="J48" i="25"/>
  <c r="K48" i="25"/>
  <c r="I49" i="25"/>
  <c r="J49" i="25"/>
  <c r="K49" i="25"/>
  <c r="I50" i="25"/>
  <c r="J50" i="25"/>
  <c r="K50" i="25"/>
  <c r="I51" i="25"/>
  <c r="J51" i="25"/>
  <c r="K51" i="25"/>
  <c r="I52" i="25"/>
  <c r="J52" i="25"/>
  <c r="K52" i="25"/>
  <c r="I53" i="25"/>
  <c r="J53" i="25"/>
  <c r="K53" i="25"/>
  <c r="I54" i="25"/>
  <c r="J54" i="25"/>
  <c r="K54" i="25"/>
  <c r="I55" i="25"/>
  <c r="J55" i="25"/>
  <c r="K55" i="25"/>
  <c r="I56" i="25"/>
  <c r="J56" i="25"/>
  <c r="K56" i="25"/>
  <c r="I57" i="25"/>
  <c r="J57" i="25"/>
  <c r="K57" i="25"/>
  <c r="I58" i="25"/>
  <c r="J58" i="25"/>
  <c r="K58" i="25"/>
  <c r="I59" i="25"/>
  <c r="J59" i="25"/>
  <c r="K59" i="25"/>
  <c r="I60" i="25"/>
  <c r="J60" i="25"/>
  <c r="K60" i="25"/>
  <c r="I61" i="25"/>
  <c r="J61" i="25"/>
  <c r="K61" i="25"/>
  <c r="I62" i="25"/>
  <c r="J62" i="25"/>
  <c r="K62" i="25"/>
  <c r="I63" i="25"/>
  <c r="J63" i="25"/>
  <c r="K63" i="25"/>
  <c r="I64" i="25"/>
  <c r="J64" i="25"/>
  <c r="K64" i="25"/>
  <c r="I65" i="25"/>
  <c r="J65" i="25"/>
  <c r="K65" i="25"/>
  <c r="I66" i="25"/>
  <c r="J66" i="25"/>
  <c r="K66" i="25"/>
  <c r="I67" i="25"/>
  <c r="J67" i="25"/>
  <c r="K67" i="25"/>
  <c r="I68" i="25"/>
  <c r="J68" i="25"/>
  <c r="K68" i="25"/>
  <c r="I69" i="25"/>
  <c r="J69" i="25"/>
  <c r="K69" i="25"/>
  <c r="I70" i="25"/>
  <c r="J70" i="25"/>
  <c r="K70" i="25"/>
  <c r="I71" i="25"/>
  <c r="J71" i="25"/>
  <c r="K71" i="25"/>
  <c r="I72" i="25"/>
  <c r="J72" i="25"/>
  <c r="K72" i="25"/>
  <c r="I73" i="25"/>
  <c r="J73" i="25"/>
  <c r="K73" i="25"/>
  <c r="I74" i="25"/>
  <c r="J74" i="25"/>
  <c r="K74" i="25"/>
  <c r="I75" i="25"/>
  <c r="J75" i="25"/>
  <c r="K75" i="25"/>
  <c r="I76" i="25"/>
  <c r="J76" i="25"/>
  <c r="K76" i="25"/>
  <c r="I77" i="25"/>
  <c r="J77" i="25"/>
  <c r="K77" i="25"/>
  <c r="I78" i="25"/>
  <c r="J78" i="25"/>
  <c r="K78" i="25"/>
  <c r="I79" i="25"/>
  <c r="J79" i="25"/>
  <c r="K79" i="25"/>
  <c r="I80" i="25"/>
  <c r="J80" i="25"/>
  <c r="K80" i="25"/>
  <c r="I81" i="25"/>
  <c r="J81" i="25"/>
  <c r="K81" i="25"/>
  <c r="I82" i="25"/>
  <c r="J82" i="25"/>
  <c r="K82" i="25"/>
  <c r="I83" i="25"/>
  <c r="J83" i="25"/>
  <c r="K83" i="25"/>
  <c r="I84" i="25"/>
  <c r="J84" i="25"/>
  <c r="K84" i="25"/>
  <c r="I85" i="25"/>
  <c r="J85" i="25"/>
  <c r="K85" i="25"/>
  <c r="I86" i="25"/>
  <c r="J86" i="25"/>
  <c r="K86" i="25"/>
  <c r="I87" i="25"/>
  <c r="J87" i="25"/>
  <c r="K87" i="25"/>
  <c r="I88" i="25"/>
  <c r="J88" i="25"/>
  <c r="K88" i="25"/>
  <c r="I89" i="25"/>
  <c r="J89" i="25"/>
  <c r="K89" i="25"/>
  <c r="I90" i="25"/>
  <c r="J90" i="25"/>
  <c r="K90" i="25"/>
  <c r="I91" i="25"/>
  <c r="J91" i="25"/>
  <c r="K91" i="25"/>
  <c r="I92" i="25"/>
  <c r="J92" i="25"/>
  <c r="K92" i="25"/>
  <c r="I93" i="25"/>
  <c r="J93" i="25"/>
  <c r="K93" i="25"/>
  <c r="I94" i="25"/>
  <c r="J94" i="25"/>
  <c r="K94" i="25"/>
  <c r="I95" i="25"/>
  <c r="J95" i="25"/>
  <c r="K95" i="25"/>
  <c r="I96" i="25"/>
  <c r="J96" i="25"/>
  <c r="K96" i="25"/>
  <c r="I97" i="25"/>
  <c r="J97" i="25"/>
  <c r="K97" i="25"/>
  <c r="I98" i="25"/>
  <c r="J98" i="25"/>
  <c r="K98" i="25"/>
  <c r="I99" i="25"/>
  <c r="J99" i="25"/>
  <c r="K99" i="25"/>
  <c r="I100" i="25"/>
  <c r="J100" i="25"/>
  <c r="K100" i="25"/>
  <c r="I101" i="25"/>
  <c r="J101" i="25"/>
  <c r="K101" i="25"/>
  <c r="I102" i="25"/>
  <c r="J102" i="25"/>
  <c r="K102" i="25"/>
  <c r="I103" i="25"/>
  <c r="J103" i="25"/>
  <c r="K103" i="25"/>
  <c r="I104" i="25"/>
  <c r="J104" i="25"/>
  <c r="K104" i="25"/>
  <c r="I105" i="25"/>
  <c r="J105" i="25"/>
  <c r="K105" i="25"/>
  <c r="I106" i="25"/>
  <c r="J106" i="25"/>
  <c r="K106" i="25"/>
  <c r="I107" i="25"/>
  <c r="J107" i="25"/>
  <c r="K107" i="25"/>
  <c r="I108" i="25"/>
  <c r="J108" i="25"/>
  <c r="K108" i="25"/>
  <c r="I109" i="25"/>
  <c r="J109" i="25"/>
  <c r="K109" i="25"/>
  <c r="I110" i="25"/>
  <c r="J110" i="25"/>
  <c r="K110" i="25"/>
  <c r="I111" i="25"/>
  <c r="J111" i="25"/>
  <c r="K111" i="25"/>
  <c r="I112" i="25"/>
  <c r="J112" i="25"/>
  <c r="K112" i="25"/>
  <c r="I113" i="25"/>
  <c r="J113" i="25"/>
  <c r="K113" i="25"/>
  <c r="I114" i="25"/>
  <c r="J114" i="25"/>
  <c r="K114" i="25"/>
  <c r="I115" i="25"/>
  <c r="J115" i="25"/>
  <c r="K115" i="25"/>
  <c r="I116" i="25"/>
  <c r="J116" i="25"/>
  <c r="K116" i="25"/>
  <c r="I117" i="25"/>
  <c r="J117" i="25"/>
  <c r="K117" i="25"/>
  <c r="I118" i="25"/>
  <c r="J118" i="25"/>
  <c r="K118" i="25"/>
  <c r="I119" i="25"/>
  <c r="J119" i="25"/>
  <c r="K119" i="25"/>
  <c r="I120" i="25"/>
  <c r="J120" i="25"/>
  <c r="K120" i="25"/>
  <c r="I121" i="25"/>
  <c r="J121" i="25"/>
  <c r="K121" i="25"/>
  <c r="I122" i="25"/>
  <c r="J122" i="25"/>
  <c r="K122" i="25"/>
  <c r="I123" i="25"/>
  <c r="J123" i="25"/>
  <c r="K123" i="25"/>
  <c r="I124" i="25"/>
  <c r="J124" i="25"/>
  <c r="K124" i="25"/>
  <c r="I125" i="25"/>
  <c r="J125" i="25"/>
  <c r="K125" i="25"/>
  <c r="I126" i="25"/>
  <c r="J126" i="25"/>
  <c r="K126" i="25"/>
  <c r="I127" i="25"/>
  <c r="J127" i="25"/>
  <c r="K127" i="25"/>
  <c r="I128" i="25"/>
  <c r="J128" i="25"/>
  <c r="K128" i="25"/>
  <c r="I129" i="25"/>
  <c r="J129" i="25"/>
  <c r="K129" i="25"/>
  <c r="I130" i="25"/>
  <c r="J130" i="25"/>
  <c r="K130" i="25"/>
  <c r="I131" i="25"/>
  <c r="J131" i="25"/>
  <c r="K131" i="25"/>
  <c r="I132" i="25"/>
  <c r="J132" i="25"/>
  <c r="K132" i="25"/>
  <c r="I133" i="25"/>
  <c r="J133" i="25"/>
  <c r="K133" i="25"/>
  <c r="I134" i="25"/>
  <c r="J134" i="25"/>
  <c r="K134" i="25"/>
  <c r="I135" i="25"/>
  <c r="J135" i="25"/>
  <c r="K135" i="25"/>
  <c r="I136" i="25"/>
  <c r="J136" i="25"/>
  <c r="K136" i="25"/>
  <c r="I137" i="25"/>
  <c r="J137" i="25"/>
  <c r="K137" i="25"/>
  <c r="I138" i="25"/>
  <c r="J138" i="25"/>
  <c r="K138" i="25"/>
  <c r="I139" i="25"/>
  <c r="J139" i="25"/>
  <c r="K139" i="25"/>
  <c r="I140" i="25"/>
  <c r="J140" i="25"/>
  <c r="K140" i="25"/>
  <c r="I141" i="25"/>
  <c r="J141" i="25"/>
  <c r="K141" i="25"/>
  <c r="I142" i="25"/>
  <c r="J142" i="25"/>
  <c r="K142" i="25"/>
  <c r="I143" i="25"/>
  <c r="J143" i="25"/>
  <c r="K143" i="25"/>
  <c r="I144" i="25"/>
  <c r="J144" i="25"/>
  <c r="K144" i="25"/>
  <c r="I145" i="25"/>
  <c r="J145" i="25"/>
  <c r="K145" i="25"/>
  <c r="I146" i="25"/>
  <c r="J146" i="25"/>
  <c r="K146" i="25"/>
  <c r="I147" i="25"/>
  <c r="J147" i="25"/>
  <c r="K147" i="25"/>
  <c r="I148" i="25"/>
  <c r="J148" i="25"/>
  <c r="K148" i="25"/>
  <c r="I149" i="25"/>
  <c r="J149" i="25"/>
  <c r="K149" i="25"/>
  <c r="I150" i="25"/>
  <c r="J150" i="25"/>
  <c r="K150" i="25"/>
  <c r="I151" i="25"/>
  <c r="J151" i="25"/>
  <c r="K151" i="25"/>
  <c r="I152" i="25"/>
  <c r="J152" i="25"/>
  <c r="K152" i="25"/>
  <c r="I153" i="25"/>
  <c r="J153" i="25"/>
  <c r="K153" i="25"/>
  <c r="I154" i="25"/>
  <c r="J154" i="25"/>
  <c r="K154" i="25"/>
  <c r="I155" i="25"/>
  <c r="J155" i="25"/>
  <c r="K155" i="25"/>
  <c r="I156" i="25"/>
  <c r="J156" i="25"/>
  <c r="K156" i="25"/>
  <c r="I157" i="25"/>
  <c r="J157" i="25"/>
  <c r="K157" i="25"/>
  <c r="I158" i="25"/>
  <c r="J158" i="25"/>
  <c r="K158" i="25"/>
  <c r="I159" i="25"/>
  <c r="J159" i="25"/>
  <c r="K159" i="25"/>
  <c r="I160" i="25"/>
  <c r="J160" i="25"/>
  <c r="K160" i="25"/>
  <c r="I161" i="25"/>
  <c r="J161" i="25"/>
  <c r="K161" i="25"/>
  <c r="I162" i="25"/>
  <c r="J162" i="25"/>
  <c r="K162" i="25"/>
  <c r="I163" i="25"/>
  <c r="J163" i="25"/>
  <c r="K163" i="25"/>
  <c r="I164" i="25"/>
  <c r="J164" i="25"/>
  <c r="K164" i="25"/>
  <c r="I165" i="25"/>
  <c r="J165" i="25"/>
  <c r="K165" i="25"/>
  <c r="I166" i="25"/>
  <c r="J166" i="25"/>
  <c r="K166" i="25"/>
  <c r="I167" i="25"/>
  <c r="J167" i="25"/>
  <c r="K167" i="25"/>
  <c r="I168" i="25"/>
  <c r="J168" i="25"/>
  <c r="K168" i="25"/>
  <c r="I169" i="25"/>
  <c r="J169" i="25"/>
  <c r="K169" i="25"/>
  <c r="I170" i="25"/>
  <c r="J170" i="25"/>
  <c r="K170" i="25"/>
  <c r="I171" i="25"/>
  <c r="J171" i="25"/>
  <c r="K171" i="25"/>
  <c r="I172" i="25"/>
  <c r="J172" i="25"/>
  <c r="K172" i="25"/>
  <c r="I173" i="25"/>
  <c r="J173" i="25"/>
  <c r="K173" i="25"/>
  <c r="I174" i="25"/>
  <c r="J174" i="25"/>
  <c r="K174" i="25"/>
  <c r="I175" i="25"/>
  <c r="J175" i="25"/>
  <c r="K175" i="25"/>
  <c r="I176" i="25"/>
  <c r="J176" i="25"/>
  <c r="K176" i="25"/>
  <c r="I177" i="25"/>
  <c r="J177" i="25"/>
  <c r="K177" i="25"/>
  <c r="I178" i="25"/>
  <c r="J178" i="25"/>
  <c r="K178" i="25"/>
  <c r="I179" i="25"/>
  <c r="J179" i="25"/>
  <c r="K179" i="25"/>
  <c r="I180" i="25"/>
  <c r="J180" i="25"/>
  <c r="K180" i="25"/>
  <c r="I181" i="25"/>
  <c r="J181" i="25"/>
  <c r="K181" i="25"/>
  <c r="I182" i="25"/>
  <c r="J182" i="25"/>
  <c r="K182" i="25"/>
  <c r="I183" i="25"/>
  <c r="J183" i="25"/>
  <c r="K183" i="25"/>
  <c r="I184" i="25"/>
  <c r="J184" i="25"/>
  <c r="K184" i="25"/>
  <c r="I185" i="25"/>
  <c r="J185" i="25"/>
  <c r="K185" i="25"/>
  <c r="I186" i="25"/>
  <c r="J186" i="25"/>
  <c r="K186" i="25"/>
  <c r="I187" i="25"/>
  <c r="J187" i="25"/>
  <c r="K187" i="25"/>
  <c r="I188" i="25"/>
  <c r="J188" i="25"/>
  <c r="K188" i="25"/>
  <c r="I189" i="25"/>
  <c r="J189" i="25"/>
  <c r="K189" i="25"/>
  <c r="I190" i="25"/>
  <c r="J190" i="25"/>
  <c r="K190" i="25"/>
  <c r="I191" i="25"/>
  <c r="J191" i="25"/>
  <c r="K191" i="25"/>
  <c r="I192" i="25"/>
  <c r="J192" i="25"/>
  <c r="K192" i="25"/>
  <c r="I193" i="25"/>
  <c r="J193" i="25"/>
  <c r="K193" i="25"/>
  <c r="I194" i="25"/>
  <c r="J194" i="25"/>
  <c r="K194" i="25"/>
  <c r="I195" i="25"/>
  <c r="J195" i="25"/>
  <c r="K195" i="25"/>
  <c r="I196" i="25"/>
  <c r="J196" i="25"/>
  <c r="K196" i="25"/>
  <c r="I197" i="25"/>
  <c r="J197" i="25"/>
  <c r="K197" i="25"/>
  <c r="I198" i="25"/>
  <c r="J198" i="25"/>
  <c r="K198" i="25"/>
  <c r="I199" i="25"/>
  <c r="J199" i="25"/>
  <c r="K199" i="25"/>
  <c r="I200" i="25"/>
  <c r="J200" i="25"/>
  <c r="K200" i="25"/>
  <c r="I201" i="25"/>
  <c r="J201" i="25"/>
  <c r="K201" i="25"/>
  <c r="I202" i="25"/>
  <c r="J202" i="25"/>
  <c r="K202" i="25"/>
  <c r="I203" i="25"/>
  <c r="J203" i="25"/>
  <c r="K203" i="25"/>
  <c r="I204" i="25"/>
  <c r="J204" i="25"/>
  <c r="K204" i="25"/>
  <c r="I205" i="25"/>
  <c r="J205" i="25"/>
  <c r="K205" i="25"/>
  <c r="I206" i="25"/>
  <c r="J206" i="25"/>
  <c r="K206" i="25"/>
  <c r="I207" i="25"/>
  <c r="J207" i="25"/>
  <c r="K207" i="25"/>
  <c r="I208" i="25"/>
  <c r="J208" i="25"/>
  <c r="K208" i="25"/>
  <c r="I209" i="25"/>
  <c r="J209" i="25"/>
  <c r="K209" i="25"/>
  <c r="I210" i="25"/>
  <c r="J210" i="25"/>
  <c r="K210" i="25"/>
  <c r="I211" i="25"/>
  <c r="J211" i="25"/>
  <c r="K211" i="25"/>
  <c r="I212" i="25"/>
  <c r="J212" i="25"/>
  <c r="K212" i="25"/>
  <c r="I213" i="25"/>
  <c r="J213" i="25"/>
  <c r="K213" i="25"/>
  <c r="I214" i="25"/>
  <c r="J214" i="25"/>
  <c r="K214" i="25"/>
  <c r="I215" i="25"/>
  <c r="J215" i="25"/>
  <c r="K215" i="25"/>
  <c r="I216" i="25"/>
  <c r="J216" i="25"/>
  <c r="K216" i="25"/>
  <c r="I217" i="25"/>
  <c r="J217" i="25"/>
  <c r="K217" i="25"/>
  <c r="I218" i="25"/>
  <c r="J218" i="25"/>
  <c r="K218" i="25"/>
  <c r="I219" i="25"/>
  <c r="J219" i="25"/>
  <c r="K219" i="25"/>
  <c r="I220" i="25"/>
  <c r="J220" i="25"/>
  <c r="K220" i="25"/>
  <c r="I221" i="25"/>
  <c r="J221" i="25"/>
  <c r="K221" i="25"/>
  <c r="I222" i="25"/>
  <c r="J222" i="25"/>
  <c r="K222" i="25"/>
  <c r="I223" i="25"/>
  <c r="J223" i="25"/>
  <c r="K223" i="25"/>
  <c r="I224" i="25"/>
  <c r="J224" i="25"/>
  <c r="K224" i="25"/>
  <c r="I225" i="25"/>
  <c r="J225" i="25"/>
  <c r="K225" i="25"/>
  <c r="I226" i="25"/>
  <c r="J226" i="25"/>
  <c r="K226" i="25"/>
  <c r="I227" i="25"/>
  <c r="J227" i="25"/>
  <c r="K227" i="25"/>
  <c r="I228" i="25"/>
  <c r="J228" i="25"/>
  <c r="K228" i="25"/>
  <c r="I229" i="25"/>
  <c r="J229" i="25"/>
  <c r="K229" i="25"/>
  <c r="I230" i="25"/>
  <c r="J230" i="25"/>
  <c r="K230" i="25"/>
  <c r="I231" i="25"/>
  <c r="J231" i="25"/>
  <c r="K231" i="25"/>
  <c r="I232" i="25"/>
  <c r="J232" i="25"/>
  <c r="K232" i="25"/>
  <c r="I233" i="25"/>
  <c r="J233" i="25"/>
  <c r="K233" i="25"/>
  <c r="I234" i="25"/>
  <c r="J234" i="25"/>
  <c r="K234" i="25"/>
  <c r="I235" i="25"/>
  <c r="J235" i="25"/>
  <c r="K235" i="25"/>
  <c r="I236" i="25"/>
  <c r="J236" i="25"/>
  <c r="K236" i="25"/>
  <c r="I237" i="25"/>
  <c r="J237" i="25"/>
  <c r="K237" i="25"/>
  <c r="I238" i="25"/>
  <c r="J238" i="25"/>
  <c r="K238" i="25"/>
  <c r="I239" i="25"/>
  <c r="J239" i="25"/>
  <c r="K239" i="25"/>
  <c r="I240" i="25"/>
  <c r="J240" i="25"/>
  <c r="K240" i="25"/>
  <c r="I241" i="25"/>
  <c r="J241" i="25"/>
  <c r="K241" i="25"/>
  <c r="I242" i="25"/>
  <c r="J242" i="25"/>
  <c r="K242" i="25"/>
  <c r="I243" i="25"/>
  <c r="J243" i="25"/>
  <c r="K243" i="25"/>
  <c r="I244" i="25"/>
  <c r="J244" i="25"/>
  <c r="K244" i="25"/>
  <c r="I245" i="25"/>
  <c r="J245" i="25"/>
  <c r="K245" i="25"/>
  <c r="I246" i="25"/>
  <c r="J246" i="25"/>
  <c r="K246" i="25"/>
  <c r="I247" i="25"/>
  <c r="J247" i="25"/>
  <c r="K247" i="25"/>
  <c r="I248" i="25"/>
  <c r="J248" i="25"/>
  <c r="K248" i="25"/>
  <c r="I249" i="25"/>
  <c r="J249" i="25"/>
  <c r="K249" i="25"/>
  <c r="I250" i="25"/>
  <c r="J250" i="25"/>
  <c r="K250" i="25"/>
  <c r="I251" i="25"/>
  <c r="J251" i="25"/>
  <c r="K251" i="25"/>
  <c r="I252" i="25"/>
  <c r="J252" i="25"/>
  <c r="K252" i="25"/>
  <c r="I253" i="25"/>
  <c r="J253" i="25"/>
  <c r="K253" i="25"/>
  <c r="I254" i="25"/>
  <c r="J254" i="25"/>
  <c r="K254" i="25"/>
  <c r="I255" i="25"/>
  <c r="J255" i="25"/>
  <c r="K255" i="25"/>
  <c r="I256" i="25"/>
  <c r="J256" i="25"/>
  <c r="K256" i="25"/>
  <c r="I257" i="25"/>
  <c r="J257" i="25"/>
  <c r="K257" i="25"/>
  <c r="I258" i="25"/>
  <c r="J258" i="25"/>
  <c r="K258" i="25"/>
  <c r="I259" i="25"/>
  <c r="J259" i="25"/>
  <c r="K259" i="25"/>
  <c r="I260" i="25"/>
  <c r="J260" i="25"/>
  <c r="K260" i="25"/>
  <c r="I261" i="25"/>
  <c r="J261" i="25"/>
  <c r="K261" i="25"/>
  <c r="I262" i="25"/>
  <c r="J262" i="25"/>
  <c r="K262" i="25"/>
  <c r="I263" i="25"/>
  <c r="J263" i="25"/>
  <c r="K263" i="25"/>
  <c r="I264" i="25"/>
  <c r="J264" i="25"/>
  <c r="K264" i="25"/>
  <c r="I265" i="25"/>
  <c r="J265" i="25"/>
  <c r="K265" i="25"/>
  <c r="I266" i="25"/>
  <c r="J266" i="25"/>
  <c r="K266" i="25"/>
  <c r="I267" i="25"/>
  <c r="J267" i="25"/>
  <c r="K267" i="25"/>
  <c r="I268" i="25"/>
  <c r="J268" i="25"/>
  <c r="K268" i="25"/>
  <c r="I269" i="25"/>
  <c r="J269" i="25"/>
  <c r="K269" i="25"/>
  <c r="I270" i="25"/>
  <c r="J270" i="25"/>
  <c r="K270" i="25"/>
  <c r="I271" i="25"/>
  <c r="J271" i="25"/>
  <c r="K271" i="25"/>
  <c r="I272" i="25"/>
  <c r="J272" i="25"/>
  <c r="K272" i="25"/>
  <c r="I273" i="25"/>
  <c r="J273" i="25"/>
  <c r="K273" i="25"/>
  <c r="I274" i="25"/>
  <c r="J274" i="25"/>
  <c r="K274" i="25"/>
  <c r="I275" i="25"/>
  <c r="J275" i="25"/>
  <c r="K275" i="25"/>
  <c r="I276" i="25"/>
  <c r="J276" i="25"/>
  <c r="K276" i="25"/>
  <c r="I277" i="25"/>
  <c r="J277" i="25"/>
  <c r="K277" i="25"/>
  <c r="I278" i="25"/>
  <c r="J278" i="25"/>
  <c r="K278" i="25"/>
  <c r="I279" i="25"/>
  <c r="J279" i="25"/>
  <c r="K279" i="25"/>
  <c r="I280" i="25"/>
  <c r="J280" i="25"/>
  <c r="K280" i="25"/>
  <c r="I281" i="25"/>
  <c r="J281" i="25"/>
  <c r="K281" i="25"/>
  <c r="I282" i="25"/>
  <c r="J282" i="25"/>
  <c r="K282" i="25"/>
  <c r="I283" i="25"/>
  <c r="J283" i="25"/>
  <c r="K283" i="25"/>
  <c r="I284" i="25"/>
  <c r="J284" i="25"/>
  <c r="K284" i="25"/>
  <c r="I285" i="25"/>
  <c r="J285" i="25"/>
  <c r="K285" i="25"/>
  <c r="I286" i="25"/>
  <c r="J286" i="25"/>
  <c r="K286" i="25"/>
  <c r="I287" i="25"/>
  <c r="J287" i="25"/>
  <c r="K287" i="25"/>
  <c r="I288" i="25"/>
  <c r="J288" i="25"/>
  <c r="K288" i="25"/>
  <c r="I289" i="25"/>
  <c r="J289" i="25"/>
  <c r="K289" i="25"/>
  <c r="I290" i="25"/>
  <c r="J290" i="25"/>
  <c r="K290" i="25"/>
  <c r="I291" i="25"/>
  <c r="J291" i="25"/>
  <c r="K291" i="25"/>
  <c r="I292" i="25"/>
  <c r="J292" i="25"/>
  <c r="K292" i="25"/>
  <c r="I293" i="25"/>
  <c r="J293" i="25"/>
  <c r="K293" i="25"/>
  <c r="I294" i="25"/>
  <c r="J294" i="25"/>
  <c r="K294" i="25"/>
  <c r="I295" i="25"/>
  <c r="J295" i="25"/>
  <c r="K295" i="25"/>
  <c r="I296" i="25"/>
  <c r="J296" i="25"/>
  <c r="K296" i="25"/>
  <c r="I297" i="25"/>
  <c r="J297" i="25"/>
  <c r="K297" i="25"/>
  <c r="I298" i="25"/>
  <c r="J298" i="25"/>
  <c r="K298" i="25"/>
  <c r="I299" i="25"/>
  <c r="J299" i="25"/>
  <c r="K299" i="25"/>
  <c r="I300" i="25"/>
  <c r="J300" i="25"/>
  <c r="K300" i="25"/>
  <c r="I301" i="25"/>
  <c r="J301" i="25"/>
  <c r="K301" i="25"/>
  <c r="I302" i="25"/>
  <c r="J302" i="25"/>
  <c r="K302" i="25"/>
  <c r="I303" i="25"/>
  <c r="J303" i="25"/>
  <c r="K303" i="25"/>
  <c r="I304" i="25"/>
  <c r="J304" i="25"/>
  <c r="K304" i="25"/>
  <c r="I305" i="25"/>
  <c r="J305" i="25"/>
  <c r="K305" i="25"/>
  <c r="I306" i="25"/>
  <c r="J306" i="25"/>
  <c r="K306" i="25"/>
  <c r="I307" i="25"/>
  <c r="J307" i="25"/>
  <c r="K307" i="25"/>
  <c r="I308" i="25"/>
  <c r="J308" i="25"/>
  <c r="K308" i="25"/>
  <c r="I309" i="25"/>
  <c r="J309" i="25"/>
  <c r="K309" i="25"/>
  <c r="I310" i="25"/>
  <c r="J310" i="25"/>
  <c r="K310" i="25"/>
  <c r="I311" i="25"/>
  <c r="J311" i="25"/>
  <c r="K311" i="25"/>
  <c r="I312" i="25"/>
  <c r="J312" i="25"/>
  <c r="K312" i="25"/>
  <c r="I313" i="25"/>
  <c r="J313" i="25"/>
  <c r="K313" i="25"/>
  <c r="I314" i="25"/>
  <c r="J314" i="25"/>
  <c r="K314" i="25"/>
  <c r="I315" i="25"/>
  <c r="J315" i="25"/>
  <c r="K315" i="25"/>
  <c r="I316" i="25"/>
  <c r="J316" i="25"/>
  <c r="K316" i="25"/>
  <c r="I317" i="25"/>
  <c r="J317" i="25"/>
  <c r="K317" i="25"/>
  <c r="I318" i="25"/>
  <c r="J318" i="25"/>
  <c r="K318" i="25"/>
  <c r="I319" i="25"/>
  <c r="J319" i="25"/>
  <c r="K319" i="25"/>
  <c r="I320" i="25"/>
  <c r="J320" i="25"/>
  <c r="K320" i="25"/>
  <c r="I321" i="25"/>
  <c r="J321" i="25"/>
  <c r="K321" i="25"/>
  <c r="I322" i="25"/>
  <c r="J322" i="25"/>
  <c r="K322" i="25"/>
  <c r="I323" i="25"/>
  <c r="J323" i="25"/>
  <c r="K323" i="25"/>
  <c r="I324" i="25"/>
  <c r="J324" i="25"/>
  <c r="K324" i="25"/>
  <c r="I325" i="25"/>
  <c r="J325" i="25"/>
  <c r="K325" i="25"/>
  <c r="I326" i="25"/>
  <c r="J326" i="25"/>
  <c r="K326" i="25"/>
  <c r="I327" i="25"/>
  <c r="J327" i="25"/>
  <c r="K327" i="25"/>
  <c r="I328" i="25"/>
  <c r="J328" i="25"/>
  <c r="K328" i="25"/>
  <c r="I329" i="25"/>
  <c r="J329" i="25"/>
  <c r="K329" i="25"/>
  <c r="I330" i="25"/>
  <c r="J330" i="25"/>
  <c r="K330" i="25"/>
  <c r="I331" i="25"/>
  <c r="J331" i="25"/>
  <c r="K331" i="25"/>
  <c r="I332" i="25"/>
  <c r="J332" i="25"/>
  <c r="K332" i="25"/>
  <c r="I333" i="25"/>
  <c r="J333" i="25"/>
  <c r="K333" i="25"/>
  <c r="I334" i="25"/>
  <c r="J334" i="25"/>
  <c r="K334" i="25"/>
  <c r="I335" i="25"/>
  <c r="J335" i="25"/>
  <c r="K335" i="25"/>
  <c r="I336" i="25"/>
  <c r="J336" i="25"/>
  <c r="K336" i="25"/>
  <c r="I337" i="25"/>
  <c r="J337" i="25"/>
  <c r="K337" i="25"/>
  <c r="I338" i="25"/>
  <c r="J338" i="25"/>
  <c r="K338" i="25"/>
  <c r="I339" i="25"/>
  <c r="J339" i="25"/>
  <c r="K339" i="25"/>
  <c r="I340" i="25"/>
  <c r="J340" i="25"/>
  <c r="K340" i="25"/>
  <c r="I341" i="25"/>
  <c r="J341" i="25"/>
  <c r="K341" i="25"/>
  <c r="I342" i="25"/>
  <c r="J342" i="25"/>
  <c r="K342" i="25"/>
  <c r="I343" i="25"/>
  <c r="J343" i="25"/>
  <c r="K343" i="25"/>
  <c r="I344" i="25"/>
  <c r="J344" i="25"/>
  <c r="K344" i="25"/>
  <c r="I345" i="25"/>
  <c r="J345" i="25"/>
  <c r="K345" i="25"/>
  <c r="I346" i="25"/>
  <c r="J346" i="25"/>
  <c r="K346" i="25"/>
  <c r="I347" i="25"/>
  <c r="J347" i="25"/>
  <c r="K347" i="25"/>
  <c r="I348" i="25"/>
  <c r="J348" i="25"/>
  <c r="K348" i="25"/>
  <c r="I349" i="25"/>
  <c r="J349" i="25"/>
  <c r="K349" i="25"/>
  <c r="I350" i="25"/>
  <c r="J350" i="25"/>
  <c r="K350" i="25"/>
  <c r="I351" i="25"/>
  <c r="J351" i="25"/>
  <c r="K351" i="25"/>
  <c r="I352" i="25"/>
  <c r="J352" i="25"/>
  <c r="K352" i="25"/>
  <c r="I353" i="25"/>
  <c r="J353" i="25"/>
  <c r="K353" i="25"/>
  <c r="I354" i="25"/>
  <c r="J354" i="25"/>
  <c r="K354" i="25"/>
  <c r="I355" i="25"/>
  <c r="J355" i="25"/>
  <c r="K355" i="25"/>
  <c r="I356" i="25"/>
  <c r="J356" i="25"/>
  <c r="K356" i="25"/>
  <c r="T25" i="24" l="1"/>
  <c r="T24" i="24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C27" i="41" s="1"/>
  <c r="B28" i="41"/>
  <c r="C28" i="41" s="1"/>
  <c r="B29" i="41"/>
  <c r="C29" i="41" s="1"/>
  <c r="B30" i="41"/>
  <c r="C30" i="41" s="1"/>
  <c r="B31" i="41"/>
  <c r="B32" i="41"/>
  <c r="B33" i="41"/>
  <c r="C33" i="41" s="1"/>
  <c r="B34" i="41"/>
  <c r="C34" i="41" s="1"/>
  <c r="B35" i="41"/>
  <c r="B36" i="41"/>
  <c r="C36" i="41" s="1"/>
  <c r="B37" i="41"/>
  <c r="B38" i="41"/>
  <c r="C38" i="41" s="1"/>
  <c r="B39" i="41"/>
  <c r="C39" i="41" s="1"/>
  <c r="B40" i="41"/>
  <c r="C40" i="41" s="1"/>
  <c r="B41" i="41"/>
  <c r="C41" i="41" s="1"/>
  <c r="B42" i="41"/>
  <c r="C42" i="41" s="1"/>
  <c r="B43" i="41"/>
  <c r="B44" i="41"/>
  <c r="C44" i="41" s="1"/>
  <c r="B45" i="41"/>
  <c r="C45" i="41" s="1"/>
  <c r="B46" i="41"/>
  <c r="C46" i="41" s="1"/>
  <c r="B47" i="41"/>
  <c r="B48" i="41"/>
  <c r="C48" i="41" s="1"/>
  <c r="B49" i="41"/>
  <c r="B50" i="41"/>
  <c r="B51" i="41"/>
  <c r="C51" i="41" s="1"/>
  <c r="B52" i="41"/>
  <c r="C52" i="41" s="1"/>
  <c r="B53" i="41"/>
  <c r="B54" i="41"/>
  <c r="C54" i="41" s="1"/>
  <c r="B55" i="41"/>
  <c r="B56" i="41"/>
  <c r="C56" i="41" s="1"/>
  <c r="B57" i="41"/>
  <c r="C57" i="41" s="1"/>
  <c r="B58" i="41"/>
  <c r="C58" i="41" s="1"/>
  <c r="B59" i="41"/>
  <c r="B60" i="41"/>
  <c r="C60" i="41" s="1"/>
  <c r="B61" i="41"/>
  <c r="B62" i="41"/>
  <c r="B63" i="41"/>
  <c r="C63" i="41" s="1"/>
  <c r="B64" i="41"/>
  <c r="C64" i="41" s="1"/>
  <c r="B65" i="41"/>
  <c r="C65" i="41" s="1"/>
  <c r="B66" i="41"/>
  <c r="C66" i="41" s="1"/>
  <c r="B67" i="41"/>
  <c r="B68" i="41"/>
  <c r="B69" i="41"/>
  <c r="C69" i="41" s="1"/>
  <c r="B70" i="41"/>
  <c r="C70" i="41" s="1"/>
  <c r="B71" i="41"/>
  <c r="B72" i="41"/>
  <c r="C72" i="41" s="1"/>
  <c r="B73" i="41"/>
  <c r="B74" i="41"/>
  <c r="C74" i="41" s="1"/>
  <c r="B75" i="41"/>
  <c r="C75" i="41" s="1"/>
  <c r="B76" i="41"/>
  <c r="C76" i="41" s="1"/>
  <c r="B77" i="41"/>
  <c r="C77" i="41" s="1"/>
  <c r="B78" i="41"/>
  <c r="C78" i="41" s="1"/>
  <c r="B79" i="41"/>
  <c r="B80" i="41"/>
  <c r="C80" i="41" s="1"/>
  <c r="B81" i="41"/>
  <c r="C81" i="41" s="1"/>
  <c r="B82" i="41"/>
  <c r="C82" i="41" s="1"/>
  <c r="B83" i="41"/>
  <c r="B84" i="41"/>
  <c r="C84" i="41" s="1"/>
  <c r="B85" i="41"/>
  <c r="B86" i="41"/>
  <c r="B87" i="41"/>
  <c r="C87" i="41" s="1"/>
  <c r="B88" i="41"/>
  <c r="C88" i="41" s="1"/>
  <c r="B89" i="41"/>
  <c r="B90" i="41"/>
  <c r="C90" i="41" s="1"/>
  <c r="B91" i="41"/>
  <c r="B92" i="41"/>
  <c r="C92" i="41" s="1"/>
  <c r="B93" i="41"/>
  <c r="C93" i="41" s="1"/>
  <c r="B94" i="41"/>
  <c r="C94" i="41" s="1"/>
  <c r="B95" i="41"/>
  <c r="B96" i="41"/>
  <c r="C96" i="41" s="1"/>
  <c r="B97" i="41"/>
  <c r="B98" i="41"/>
  <c r="B99" i="41"/>
  <c r="C99" i="41" s="1"/>
  <c r="B100" i="41"/>
  <c r="C100" i="41" s="1"/>
  <c r="B101" i="41"/>
  <c r="C101" i="41" s="1"/>
  <c r="B102" i="41"/>
  <c r="C102" i="41" s="1"/>
  <c r="B103" i="41"/>
  <c r="B104" i="41"/>
  <c r="B105" i="41"/>
  <c r="C105" i="41" s="1"/>
  <c r="B106" i="41"/>
  <c r="C106" i="41" s="1"/>
  <c r="B107" i="41"/>
  <c r="B108" i="41"/>
  <c r="C108" i="41" s="1"/>
  <c r="B109" i="41"/>
  <c r="B110" i="41"/>
  <c r="C110" i="41" s="1"/>
  <c r="B111" i="41"/>
  <c r="C111" i="41" s="1"/>
  <c r="B112" i="41"/>
  <c r="C112" i="41" s="1"/>
  <c r="B113" i="41"/>
  <c r="C113" i="41" s="1"/>
  <c r="K9" i="27"/>
  <c r="K8" i="27"/>
  <c r="K7" i="27"/>
  <c r="K6" i="27"/>
  <c r="K5" i="27"/>
  <c r="K4" i="27"/>
  <c r="R2" i="27"/>
  <c r="D7" i="27" s="1"/>
  <c r="I59" i="24"/>
  <c r="D73" i="48" s="1"/>
  <c r="I60" i="24"/>
  <c r="D74" i="48" s="1"/>
  <c r="I61" i="24"/>
  <c r="D75" i="48" s="1"/>
  <c r="I62" i="24"/>
  <c r="D76" i="48" s="1"/>
  <c r="I63" i="24"/>
  <c r="D77" i="48" s="1"/>
  <c r="I64" i="24"/>
  <c r="D78" i="48" s="1"/>
  <c r="I65" i="24"/>
  <c r="D79" i="48" s="1"/>
  <c r="I66" i="24"/>
  <c r="D80" i="48" s="1"/>
  <c r="I67" i="24"/>
  <c r="D81" i="48" s="1"/>
  <c r="I68" i="24"/>
  <c r="D82" i="48" s="1"/>
  <c r="I69" i="24"/>
  <c r="D83" i="48" s="1"/>
  <c r="I70" i="24"/>
  <c r="D84" i="48" s="1"/>
  <c r="I71" i="24"/>
  <c r="D85" i="48" s="1"/>
  <c r="I72" i="24"/>
  <c r="D86" i="48" s="1"/>
  <c r="I73" i="24"/>
  <c r="D87" i="48" s="1"/>
  <c r="I74" i="24"/>
  <c r="D88" i="48" s="1"/>
  <c r="I75" i="24"/>
  <c r="D89" i="48" s="1"/>
  <c r="I76" i="24"/>
  <c r="D90" i="48" s="1"/>
  <c r="I77" i="24"/>
  <c r="D91" i="48" s="1"/>
  <c r="I78" i="24"/>
  <c r="D92" i="48" s="1"/>
  <c r="I79" i="24"/>
  <c r="D93" i="48" s="1"/>
  <c r="I80" i="24"/>
  <c r="D94" i="48" s="1"/>
  <c r="I81" i="24"/>
  <c r="D95" i="48" s="1"/>
  <c r="I82" i="24"/>
  <c r="D96" i="48" s="1"/>
  <c r="I83" i="24"/>
  <c r="D97" i="48" s="1"/>
  <c r="I84" i="24"/>
  <c r="D98" i="48" s="1"/>
  <c r="I85" i="24"/>
  <c r="D99" i="48" s="1"/>
  <c r="I86" i="24"/>
  <c r="D100" i="48" s="1"/>
  <c r="I87" i="24"/>
  <c r="D101" i="48" s="1"/>
  <c r="I88" i="24"/>
  <c r="D102" i="48" s="1"/>
  <c r="I89" i="24"/>
  <c r="D103" i="48" s="1"/>
  <c r="I90" i="24"/>
  <c r="D104" i="48" s="1"/>
  <c r="I91" i="24"/>
  <c r="D105" i="48" s="1"/>
  <c r="I92" i="24"/>
  <c r="D106" i="48" s="1"/>
  <c r="I93" i="24"/>
  <c r="D107" i="48" s="1"/>
  <c r="I94" i="24"/>
  <c r="D108" i="48" s="1"/>
  <c r="I95" i="24"/>
  <c r="D109" i="48" s="1"/>
  <c r="I96" i="24"/>
  <c r="D110" i="48" s="1"/>
  <c r="I97" i="24"/>
  <c r="D111" i="48" s="1"/>
  <c r="I98" i="24"/>
  <c r="D112" i="48" s="1"/>
  <c r="I99" i="24"/>
  <c r="D113" i="48" s="1"/>
  <c r="I100" i="24"/>
  <c r="D114" i="48" s="1"/>
  <c r="I101" i="24"/>
  <c r="D115" i="48" s="1"/>
  <c r="I102" i="24"/>
  <c r="D116" i="48" s="1"/>
  <c r="I103" i="24"/>
  <c r="D117" i="48" s="1"/>
  <c r="I104" i="24"/>
  <c r="D118" i="48" s="1"/>
  <c r="I105" i="24"/>
  <c r="D119" i="48" s="1"/>
  <c r="I106" i="24"/>
  <c r="D120" i="48" s="1"/>
  <c r="I107" i="24"/>
  <c r="D121" i="48" s="1"/>
  <c r="I108" i="24"/>
  <c r="D122" i="48" s="1"/>
  <c r="E129" i="48"/>
  <c r="C174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110" i="45"/>
  <c r="B110" i="45"/>
  <c r="C110" i="45"/>
  <c r="D110" i="45"/>
  <c r="A111" i="45"/>
  <c r="B111" i="45"/>
  <c r="C111" i="45"/>
  <c r="D111" i="45"/>
  <c r="A112" i="45"/>
  <c r="B112" i="45"/>
  <c r="C112" i="45"/>
  <c r="D112" i="45"/>
  <c r="A113" i="45"/>
  <c r="B113" i="45"/>
  <c r="C113" i="45"/>
  <c r="D113" i="45"/>
  <c r="A114" i="45"/>
  <c r="B114" i="45"/>
  <c r="C114" i="45"/>
  <c r="D114" i="45"/>
  <c r="A115" i="45"/>
  <c r="B115" i="45"/>
  <c r="C115" i="45"/>
  <c r="D115" i="45"/>
  <c r="A116" i="45"/>
  <c r="B116" i="45"/>
  <c r="C116" i="45"/>
  <c r="D116" i="45"/>
  <c r="A117" i="45"/>
  <c r="B117" i="45"/>
  <c r="C117" i="45"/>
  <c r="D117" i="45"/>
  <c r="A118" i="45"/>
  <c r="B118" i="45"/>
  <c r="C118" i="45"/>
  <c r="D118" i="45"/>
  <c r="A119" i="45"/>
  <c r="B119" i="45"/>
  <c r="C119" i="45"/>
  <c r="D119" i="45"/>
  <c r="A120" i="45"/>
  <c r="B120" i="45"/>
  <c r="C120" i="45"/>
  <c r="D120" i="45"/>
  <c r="A121" i="45"/>
  <c r="B121" i="45"/>
  <c r="C121" i="45"/>
  <c r="D121" i="45"/>
  <c r="A122" i="45"/>
  <c r="B122" i="45"/>
  <c r="C122" i="45"/>
  <c r="D122" i="45"/>
  <c r="A123" i="45"/>
  <c r="B123" i="45"/>
  <c r="C123" i="45"/>
  <c r="D123" i="45"/>
  <c r="A124" i="45"/>
  <c r="B124" i="45"/>
  <c r="C124" i="45"/>
  <c r="D124" i="45"/>
  <c r="A125" i="45"/>
  <c r="B125" i="45"/>
  <c r="C125" i="45"/>
  <c r="D125" i="45"/>
  <c r="A126" i="45"/>
  <c r="B126" i="45"/>
  <c r="C126" i="45"/>
  <c r="D126" i="45"/>
  <c r="A127" i="45"/>
  <c r="B127" i="45"/>
  <c r="C127" i="45"/>
  <c r="D127" i="45"/>
  <c r="A128" i="45"/>
  <c r="B128" i="45"/>
  <c r="C128" i="45"/>
  <c r="D128" i="45"/>
  <c r="A129" i="45"/>
  <c r="B129" i="45"/>
  <c r="C129" i="45"/>
  <c r="D129" i="45"/>
  <c r="A130" i="45"/>
  <c r="B130" i="45"/>
  <c r="C130" i="45"/>
  <c r="D130" i="45"/>
  <c r="A131" i="45"/>
  <c r="B131" i="45"/>
  <c r="C131" i="45"/>
  <c r="D131" i="45"/>
  <c r="A132" i="45"/>
  <c r="B132" i="45"/>
  <c r="C132" i="45"/>
  <c r="D132" i="45"/>
  <c r="A133" i="45"/>
  <c r="B133" i="45"/>
  <c r="C133" i="45"/>
  <c r="D133" i="45"/>
  <c r="A134" i="45"/>
  <c r="B134" i="45"/>
  <c r="C134" i="45"/>
  <c r="D134" i="45"/>
  <c r="A135" i="45"/>
  <c r="B135" i="45"/>
  <c r="C135" i="45"/>
  <c r="D135" i="45"/>
  <c r="A136" i="45"/>
  <c r="B136" i="45"/>
  <c r="C136" i="45"/>
  <c r="D136" i="45"/>
  <c r="A137" i="45"/>
  <c r="B137" i="45"/>
  <c r="C137" i="45"/>
  <c r="D137" i="45"/>
  <c r="A138" i="45"/>
  <c r="B138" i="45"/>
  <c r="C138" i="45"/>
  <c r="D138" i="45"/>
  <c r="A139" i="45"/>
  <c r="B139" i="45"/>
  <c r="C139" i="45"/>
  <c r="D139" i="45"/>
  <c r="A140" i="45"/>
  <c r="B140" i="45"/>
  <c r="C140" i="45"/>
  <c r="D140" i="45"/>
  <c r="A141" i="45"/>
  <c r="B141" i="45"/>
  <c r="C141" i="45"/>
  <c r="D141" i="45"/>
  <c r="A142" i="45"/>
  <c r="B142" i="45"/>
  <c r="C142" i="45"/>
  <c r="D142" i="45"/>
  <c r="A143" i="45"/>
  <c r="B143" i="45"/>
  <c r="C143" i="45"/>
  <c r="D143" i="45"/>
  <c r="A144" i="45"/>
  <c r="B144" i="45"/>
  <c r="C144" i="45"/>
  <c r="D144" i="45"/>
  <c r="A145" i="45"/>
  <c r="B145" i="45"/>
  <c r="C145" i="45"/>
  <c r="D145" i="45"/>
  <c r="A146" i="45"/>
  <c r="B146" i="45"/>
  <c r="C146" i="45"/>
  <c r="D146" i="45"/>
  <c r="A147" i="45"/>
  <c r="B147" i="45"/>
  <c r="C147" i="45"/>
  <c r="D147" i="45"/>
  <c r="A148" i="45"/>
  <c r="B148" i="45"/>
  <c r="C148" i="45"/>
  <c r="D148" i="45"/>
  <c r="A149" i="45"/>
  <c r="B149" i="45"/>
  <c r="C149" i="45"/>
  <c r="D149" i="45"/>
  <c r="A150" i="45"/>
  <c r="B150" i="45"/>
  <c r="C150" i="45"/>
  <c r="D150" i="45"/>
  <c r="A151" i="45"/>
  <c r="B151" i="45"/>
  <c r="C151" i="45"/>
  <c r="D151" i="45"/>
  <c r="A152" i="45"/>
  <c r="B152" i="45"/>
  <c r="C152" i="45"/>
  <c r="D152" i="45"/>
  <c r="A153" i="45"/>
  <c r="B153" i="45"/>
  <c r="C153" i="45"/>
  <c r="D153" i="45"/>
  <c r="A154" i="45"/>
  <c r="B154" i="45"/>
  <c r="C154" i="45"/>
  <c r="D154" i="45"/>
  <c r="A155" i="45"/>
  <c r="B155" i="45"/>
  <c r="C155" i="45"/>
  <c r="D155" i="45"/>
  <c r="A156" i="45"/>
  <c r="B156" i="45"/>
  <c r="C156" i="45"/>
  <c r="D156" i="45"/>
  <c r="A157" i="45"/>
  <c r="B157" i="45"/>
  <c r="C157" i="45"/>
  <c r="D157" i="45"/>
  <c r="A158" i="45"/>
  <c r="B158" i="45"/>
  <c r="C158" i="45"/>
  <c r="D158" i="45"/>
  <c r="A159" i="45"/>
  <c r="B159" i="45"/>
  <c r="C159" i="45"/>
  <c r="D159" i="45"/>
  <c r="A160" i="45"/>
  <c r="B160" i="45"/>
  <c r="C160" i="45"/>
  <c r="D160" i="45"/>
  <c r="A161" i="45"/>
  <c r="B161" i="45"/>
  <c r="C161" i="45"/>
  <c r="D161" i="45"/>
  <c r="A162" i="45"/>
  <c r="B162" i="45"/>
  <c r="C162" i="45"/>
  <c r="D162" i="45"/>
  <c r="A163" i="45"/>
  <c r="B163" i="45"/>
  <c r="C163" i="45"/>
  <c r="D163" i="45"/>
  <c r="A164" i="45"/>
  <c r="B164" i="45"/>
  <c r="C164" i="45"/>
  <c r="D164" i="45"/>
  <c r="A165" i="45"/>
  <c r="B165" i="45"/>
  <c r="C165" i="45"/>
  <c r="D165" i="45"/>
  <c r="A166" i="45"/>
  <c r="B166" i="45"/>
  <c r="C166" i="45"/>
  <c r="D166" i="45"/>
  <c r="A167" i="45"/>
  <c r="B167" i="45"/>
  <c r="C167" i="45"/>
  <c r="D167" i="45"/>
  <c r="A168" i="45"/>
  <c r="B168" i="45"/>
  <c r="C168" i="45"/>
  <c r="D168" i="45"/>
  <c r="A169" i="45"/>
  <c r="B169" i="45"/>
  <c r="C169" i="45"/>
  <c r="D169" i="45"/>
  <c r="A170" i="45"/>
  <c r="B170" i="45"/>
  <c r="C170" i="45"/>
  <c r="D170" i="45"/>
  <c r="A171" i="45"/>
  <c r="B171" i="45"/>
  <c r="C171" i="45"/>
  <c r="D171" i="45"/>
  <c r="A172" i="45"/>
  <c r="B172" i="45"/>
  <c r="C172" i="45"/>
  <c r="D172" i="45"/>
  <c r="A173" i="45"/>
  <c r="B173" i="45"/>
  <c r="C173" i="45"/>
  <c r="D173" i="45"/>
  <c r="A174" i="45"/>
  <c r="B174" i="45"/>
  <c r="D174" i="45"/>
  <c r="A175" i="45"/>
  <c r="B175" i="45"/>
  <c r="C175" i="45"/>
  <c r="D175" i="45"/>
  <c r="A154" i="20"/>
  <c r="B601" i="3"/>
  <c r="B154" i="20" s="1"/>
  <c r="C154" i="20"/>
  <c r="A155" i="20"/>
  <c r="B602" i="3"/>
  <c r="B155" i="20" s="1"/>
  <c r="C155" i="20"/>
  <c r="A156" i="20"/>
  <c r="B603" i="3"/>
  <c r="B156" i="20" s="1"/>
  <c r="C156" i="20"/>
  <c r="A157" i="20"/>
  <c r="B604" i="3"/>
  <c r="B157" i="20" s="1"/>
  <c r="C157" i="20"/>
  <c r="A158" i="20"/>
  <c r="B605" i="3"/>
  <c r="B158" i="20" s="1"/>
  <c r="C158" i="20"/>
  <c r="A159" i="20"/>
  <c r="B606" i="3"/>
  <c r="B159" i="20" s="1"/>
  <c r="C159" i="20"/>
  <c r="A160" i="20"/>
  <c r="B607" i="3"/>
  <c r="B160" i="20" s="1"/>
  <c r="C160" i="20"/>
  <c r="A161" i="20"/>
  <c r="B608" i="3"/>
  <c r="B161" i="20" s="1"/>
  <c r="C161" i="20"/>
  <c r="A162" i="20"/>
  <c r="B609" i="3"/>
  <c r="B162" i="20" s="1"/>
  <c r="C162" i="20"/>
  <c r="A163" i="20"/>
  <c r="B610" i="3"/>
  <c r="B163" i="20" s="1"/>
  <c r="C163" i="20"/>
  <c r="A164" i="20"/>
  <c r="B611" i="3"/>
  <c r="B164" i="20" s="1"/>
  <c r="C164" i="20"/>
  <c r="A165" i="20"/>
  <c r="B612" i="3"/>
  <c r="B165" i="20" s="1"/>
  <c r="C165" i="20"/>
  <c r="A166" i="20"/>
  <c r="B613" i="3"/>
  <c r="B166" i="20" s="1"/>
  <c r="C166" i="20"/>
  <c r="A167" i="20"/>
  <c r="B614" i="3"/>
  <c r="B167" i="20" s="1"/>
  <c r="C167" i="20"/>
  <c r="A168" i="20"/>
  <c r="B615" i="3"/>
  <c r="B168" i="20" s="1"/>
  <c r="C168" i="20"/>
  <c r="A169" i="20"/>
  <c r="B616" i="3"/>
  <c r="B169" i="20" s="1"/>
  <c r="C169" i="20"/>
  <c r="A170" i="20"/>
  <c r="B617" i="3"/>
  <c r="B170" i="20" s="1"/>
  <c r="C170" i="20"/>
  <c r="A171" i="20"/>
  <c r="B618" i="3"/>
  <c r="B171" i="20" s="1"/>
  <c r="C171" i="20"/>
  <c r="A172" i="20"/>
  <c r="B619" i="3"/>
  <c r="B172" i="20" s="1"/>
  <c r="C172" i="20"/>
  <c r="A173" i="20"/>
  <c r="B620" i="3"/>
  <c r="B173" i="20" s="1"/>
  <c r="C173" i="20"/>
  <c r="A174" i="20"/>
  <c r="B621" i="3"/>
  <c r="B174" i="20" s="1"/>
  <c r="C174" i="20"/>
  <c r="A175" i="20"/>
  <c r="B622" i="3"/>
  <c r="B175" i="20" s="1"/>
  <c r="C175" i="20"/>
  <c r="A176" i="20"/>
  <c r="B623" i="3"/>
  <c r="B176" i="20" s="1"/>
  <c r="C176" i="20"/>
  <c r="A177" i="20"/>
  <c r="B624" i="3"/>
  <c r="B177" i="20" s="1"/>
  <c r="C177" i="20"/>
  <c r="A178" i="20"/>
  <c r="B625" i="3"/>
  <c r="B178" i="20" s="1"/>
  <c r="C178" i="20"/>
  <c r="A179" i="20"/>
  <c r="B626" i="3"/>
  <c r="B179" i="20" s="1"/>
  <c r="C179" i="20"/>
  <c r="A180" i="20"/>
  <c r="B627" i="3"/>
  <c r="B180" i="20" s="1"/>
  <c r="C180" i="20"/>
  <c r="A181" i="20"/>
  <c r="B628" i="3"/>
  <c r="B181" i="20" s="1"/>
  <c r="C181" i="20"/>
  <c r="A182" i="20"/>
  <c r="B629" i="3"/>
  <c r="B182" i="20" s="1"/>
  <c r="C182" i="20"/>
  <c r="A183" i="20"/>
  <c r="B630" i="3"/>
  <c r="B183" i="20" s="1"/>
  <c r="C183" i="20"/>
  <c r="A184" i="20"/>
  <c r="B631" i="3"/>
  <c r="B184" i="20" s="1"/>
  <c r="C184" i="20"/>
  <c r="A185" i="20"/>
  <c r="B632" i="3"/>
  <c r="B185" i="20" s="1"/>
  <c r="C185" i="20"/>
  <c r="A186" i="20"/>
  <c r="B633" i="3"/>
  <c r="B186" i="20" s="1"/>
  <c r="C186" i="20"/>
  <c r="A187" i="20"/>
  <c r="B634" i="3"/>
  <c r="B187" i="20" s="1"/>
  <c r="C187" i="20"/>
  <c r="A188" i="20"/>
  <c r="B635" i="3"/>
  <c r="B188" i="20" s="1"/>
  <c r="C188" i="20"/>
  <c r="A189" i="20"/>
  <c r="B636" i="3"/>
  <c r="B189" i="20" s="1"/>
  <c r="C189" i="20"/>
  <c r="A190" i="20"/>
  <c r="B637" i="3"/>
  <c r="B190" i="20" s="1"/>
  <c r="C190" i="20"/>
  <c r="A191" i="20"/>
  <c r="B638" i="3"/>
  <c r="B191" i="20" s="1"/>
  <c r="C191" i="20"/>
  <c r="A192" i="20"/>
  <c r="B639" i="3"/>
  <c r="B192" i="20" s="1"/>
  <c r="C192" i="20"/>
  <c r="A193" i="20"/>
  <c r="B640" i="3"/>
  <c r="B193" i="20" s="1"/>
  <c r="C193" i="20"/>
  <c r="A194" i="20"/>
  <c r="B641" i="3"/>
  <c r="B194" i="20" s="1"/>
  <c r="C194" i="20"/>
  <c r="A195" i="20"/>
  <c r="B642" i="3"/>
  <c r="B195" i="20" s="1"/>
  <c r="C195" i="20"/>
  <c r="A196" i="20"/>
  <c r="B643" i="3"/>
  <c r="B196" i="20" s="1"/>
  <c r="C196" i="20"/>
  <c r="A197" i="20"/>
  <c r="B644" i="3"/>
  <c r="B197" i="20" s="1"/>
  <c r="C197" i="20"/>
  <c r="A198" i="20"/>
  <c r="B645" i="3"/>
  <c r="B198" i="20" s="1"/>
  <c r="C198" i="20"/>
  <c r="A199" i="20"/>
  <c r="B646" i="3"/>
  <c r="B199" i="20" s="1"/>
  <c r="C199" i="20"/>
  <c r="A200" i="20"/>
  <c r="B647" i="3"/>
  <c r="B200" i="20" s="1"/>
  <c r="C200" i="20"/>
  <c r="A201" i="20"/>
  <c r="B648" i="3"/>
  <c r="B201" i="20" s="1"/>
  <c r="C201" i="20"/>
  <c r="A202" i="20"/>
  <c r="B649" i="3"/>
  <c r="B202" i="20" s="1"/>
  <c r="C202" i="20"/>
  <c r="A203" i="20"/>
  <c r="B650" i="3"/>
  <c r="B203" i="20" s="1"/>
  <c r="C203" i="20"/>
  <c r="A204" i="20"/>
  <c r="B651" i="3"/>
  <c r="B204" i="20" s="1"/>
  <c r="C204" i="20"/>
  <c r="A205" i="20"/>
  <c r="B652" i="3"/>
  <c r="B205" i="20" s="1"/>
  <c r="C205" i="20"/>
  <c r="A206" i="20"/>
  <c r="B653" i="3"/>
  <c r="B206" i="20" s="1"/>
  <c r="C206" i="20"/>
  <c r="A207" i="20"/>
  <c r="B654" i="3"/>
  <c r="B207" i="20" s="1"/>
  <c r="C207" i="20"/>
  <c r="A208" i="20"/>
  <c r="B655" i="3"/>
  <c r="B208" i="20" s="1"/>
  <c r="C208" i="20"/>
  <c r="A209" i="20"/>
  <c r="B656" i="3"/>
  <c r="B209" i="20" s="1"/>
  <c r="C209" i="20"/>
  <c r="A210" i="20"/>
  <c r="B657" i="3"/>
  <c r="B210" i="20" s="1"/>
  <c r="C210" i="20"/>
  <c r="A211" i="20"/>
  <c r="B658" i="3"/>
  <c r="B211" i="20" s="1"/>
  <c r="C211" i="20"/>
  <c r="A212" i="20"/>
  <c r="B659" i="3"/>
  <c r="B212" i="20" s="1"/>
  <c r="C212" i="20"/>
  <c r="A213" i="20"/>
  <c r="B660" i="3"/>
  <c r="B213" i="20" s="1"/>
  <c r="C213" i="20"/>
  <c r="A214" i="20"/>
  <c r="B661" i="3"/>
  <c r="B214" i="20" s="1"/>
  <c r="C214" i="20"/>
  <c r="A215" i="20"/>
  <c r="B662" i="3"/>
  <c r="B215" i="20" s="1"/>
  <c r="C215" i="20"/>
  <c r="A216" i="20"/>
  <c r="B663" i="3"/>
  <c r="B216" i="20" s="1"/>
  <c r="C216" i="20"/>
  <c r="A217" i="20"/>
  <c r="B664" i="3"/>
  <c r="B217" i="20" s="1"/>
  <c r="C217" i="20"/>
  <c r="A218" i="20"/>
  <c r="B665" i="3"/>
  <c r="B218" i="20" s="1"/>
  <c r="C218" i="20"/>
  <c r="A219" i="20"/>
  <c r="B666" i="3"/>
  <c r="B219" i="20" s="1"/>
  <c r="C219" i="20"/>
  <c r="A220" i="20"/>
  <c r="B667" i="3"/>
  <c r="B220" i="20" s="1"/>
  <c r="C220" i="20"/>
  <c r="A221" i="20"/>
  <c r="B668" i="3"/>
  <c r="B221" i="20" s="1"/>
  <c r="C221" i="20"/>
  <c r="A222" i="20"/>
  <c r="B669" i="3"/>
  <c r="B222" i="20" s="1"/>
  <c r="C222" i="20"/>
  <c r="A223" i="20"/>
  <c r="B670" i="3"/>
  <c r="B223" i="20" s="1"/>
  <c r="C223" i="20"/>
  <c r="A224" i="20"/>
  <c r="B671" i="3"/>
  <c r="B224" i="20" s="1"/>
  <c r="C224" i="20"/>
  <c r="A225" i="20"/>
  <c r="B672" i="3"/>
  <c r="B225" i="20" s="1"/>
  <c r="C225" i="20"/>
  <c r="A226" i="20"/>
  <c r="B673" i="3"/>
  <c r="B226" i="20" s="1"/>
  <c r="C226" i="20"/>
  <c r="A227" i="20"/>
  <c r="B674" i="3"/>
  <c r="B227" i="20" s="1"/>
  <c r="C227" i="20"/>
  <c r="A228" i="20"/>
  <c r="B675" i="3"/>
  <c r="B228" i="20" s="1"/>
  <c r="C228" i="20"/>
  <c r="A229" i="20"/>
  <c r="B676" i="3"/>
  <c r="B229" i="20" s="1"/>
  <c r="C229" i="20"/>
  <c r="A230" i="20"/>
  <c r="B677" i="3"/>
  <c r="B230" i="20" s="1"/>
  <c r="C230" i="20"/>
  <c r="A231" i="20"/>
  <c r="B678" i="3"/>
  <c r="B231" i="20" s="1"/>
  <c r="C231" i="20"/>
  <c r="A232" i="20"/>
  <c r="B679" i="3"/>
  <c r="B232" i="20" s="1"/>
  <c r="C232" i="20"/>
  <c r="A233" i="20"/>
  <c r="B680" i="3"/>
  <c r="B233" i="20" s="1"/>
  <c r="C233" i="20"/>
  <c r="A234" i="20"/>
  <c r="B681" i="3"/>
  <c r="B234" i="20" s="1"/>
  <c r="C234" i="20"/>
  <c r="A235" i="20"/>
  <c r="B682" i="3"/>
  <c r="B235" i="20" s="1"/>
  <c r="C235" i="20"/>
  <c r="A236" i="20"/>
  <c r="B683" i="3"/>
  <c r="B236" i="20" s="1"/>
  <c r="C236" i="20"/>
  <c r="A237" i="20"/>
  <c r="B684" i="3"/>
  <c r="B237" i="20" s="1"/>
  <c r="C237" i="20"/>
  <c r="A238" i="20"/>
  <c r="B685" i="3"/>
  <c r="B238" i="20" s="1"/>
  <c r="C238" i="20"/>
  <c r="A239" i="20"/>
  <c r="B686" i="3"/>
  <c r="B239" i="20" s="1"/>
  <c r="C239" i="20"/>
  <c r="A240" i="20"/>
  <c r="B687" i="3"/>
  <c r="B240" i="20" s="1"/>
  <c r="C240" i="20"/>
  <c r="A241" i="20"/>
  <c r="B688" i="3"/>
  <c r="B241" i="20" s="1"/>
  <c r="C241" i="20"/>
  <c r="A242" i="20"/>
  <c r="B689" i="3"/>
  <c r="B242" i="20" s="1"/>
  <c r="C242" i="20"/>
  <c r="A243" i="20"/>
  <c r="B690" i="3"/>
  <c r="B243" i="20" s="1"/>
  <c r="C243" i="20"/>
  <c r="A244" i="20"/>
  <c r="B691" i="3"/>
  <c r="B244" i="20" s="1"/>
  <c r="C244" i="20"/>
  <c r="A245" i="20"/>
  <c r="B692" i="3"/>
  <c r="B245" i="20" s="1"/>
  <c r="C245" i="20"/>
  <c r="A246" i="20"/>
  <c r="B693" i="3"/>
  <c r="B246" i="20" s="1"/>
  <c r="C246" i="20"/>
  <c r="A247" i="20"/>
  <c r="B694" i="3"/>
  <c r="B247" i="20" s="1"/>
  <c r="C247" i="20"/>
  <c r="A248" i="20"/>
  <c r="B695" i="3"/>
  <c r="B248" i="20" s="1"/>
  <c r="C248" i="20"/>
  <c r="A249" i="20"/>
  <c r="B696" i="3"/>
  <c r="B249" i="20" s="1"/>
  <c r="C249" i="20"/>
  <c r="A250" i="20"/>
  <c r="B697" i="3"/>
  <c r="B250" i="20" s="1"/>
  <c r="C250" i="20"/>
  <c r="A251" i="20"/>
  <c r="B698" i="3"/>
  <c r="B251" i="20" s="1"/>
  <c r="C251" i="20"/>
  <c r="A252" i="20"/>
  <c r="B699" i="3"/>
  <c r="B252" i="20" s="1"/>
  <c r="C252" i="20"/>
  <c r="A253" i="20"/>
  <c r="B700" i="3"/>
  <c r="B253" i="20" s="1"/>
  <c r="C253" i="20"/>
  <c r="A254" i="20"/>
  <c r="B701" i="3"/>
  <c r="B254" i="20" s="1"/>
  <c r="C254" i="20"/>
  <c r="A255" i="20"/>
  <c r="B702" i="3"/>
  <c r="B255" i="20" s="1"/>
  <c r="C255" i="20"/>
  <c r="A256" i="20"/>
  <c r="B703" i="3"/>
  <c r="B256" i="20" s="1"/>
  <c r="C256" i="20"/>
  <c r="A257" i="20"/>
  <c r="B704" i="3"/>
  <c r="B257" i="20" s="1"/>
  <c r="C257" i="20"/>
  <c r="A258" i="20"/>
  <c r="B705" i="3"/>
  <c r="B258" i="20" s="1"/>
  <c r="C258" i="20"/>
  <c r="A259" i="20"/>
  <c r="B706" i="3"/>
  <c r="B259" i="20" s="1"/>
  <c r="C259" i="20"/>
  <c r="A260" i="20"/>
  <c r="B707" i="3"/>
  <c r="B260" i="20" s="1"/>
  <c r="C260" i="20"/>
  <c r="A261" i="20"/>
  <c r="B708" i="3"/>
  <c r="B261" i="20" s="1"/>
  <c r="C261" i="20"/>
  <c r="A262" i="20"/>
  <c r="B709" i="3"/>
  <c r="B262" i="20" s="1"/>
  <c r="C262" i="20"/>
  <c r="A263" i="20"/>
  <c r="B710" i="3"/>
  <c r="B263" i="20" s="1"/>
  <c r="C263" i="20"/>
  <c r="A264" i="20"/>
  <c r="B711" i="3"/>
  <c r="B264" i="20" s="1"/>
  <c r="C264" i="20"/>
  <c r="A265" i="20"/>
  <c r="B712" i="3"/>
  <c r="B265" i="20" s="1"/>
  <c r="C265" i="20"/>
  <c r="A152" i="20"/>
  <c r="B599" i="3"/>
  <c r="B152" i="20" s="1"/>
  <c r="C152" i="20"/>
  <c r="A153" i="20"/>
  <c r="B600" i="3"/>
  <c r="B153" i="20" s="1"/>
  <c r="C153" i="20"/>
  <c r="A62" i="20"/>
  <c r="B509" i="3"/>
  <c r="B62" i="20" s="1"/>
  <c r="C62" i="20"/>
  <c r="A63" i="20"/>
  <c r="B510" i="3"/>
  <c r="B63" i="20" s="1"/>
  <c r="C63" i="20"/>
  <c r="A64" i="20"/>
  <c r="B511" i="3"/>
  <c r="B64" i="20" s="1"/>
  <c r="C64" i="20"/>
  <c r="A65" i="20"/>
  <c r="B512" i="3"/>
  <c r="B65" i="20" s="1"/>
  <c r="C65" i="20"/>
  <c r="A66" i="20"/>
  <c r="B513" i="3"/>
  <c r="B66" i="20" s="1"/>
  <c r="C66" i="20"/>
  <c r="A67" i="20"/>
  <c r="B514" i="3"/>
  <c r="B67" i="20" s="1"/>
  <c r="C67" i="20"/>
  <c r="A68" i="20"/>
  <c r="B515" i="3"/>
  <c r="B68" i="20" s="1"/>
  <c r="C68" i="20"/>
  <c r="A69" i="20"/>
  <c r="B516" i="3"/>
  <c r="B69" i="20" s="1"/>
  <c r="C69" i="20"/>
  <c r="A70" i="20"/>
  <c r="B517" i="3"/>
  <c r="B70" i="20" s="1"/>
  <c r="C70" i="20"/>
  <c r="A71" i="20"/>
  <c r="B518" i="3"/>
  <c r="B71" i="20" s="1"/>
  <c r="C71" i="20"/>
  <c r="A72" i="20"/>
  <c r="B519" i="3"/>
  <c r="B72" i="20" s="1"/>
  <c r="C72" i="20"/>
  <c r="A73" i="20"/>
  <c r="B520" i="3"/>
  <c r="B73" i="20" s="1"/>
  <c r="C73" i="20"/>
  <c r="A74" i="20"/>
  <c r="B521" i="3"/>
  <c r="B74" i="20" s="1"/>
  <c r="C74" i="20"/>
  <c r="A75" i="20"/>
  <c r="B522" i="3"/>
  <c r="B75" i="20" s="1"/>
  <c r="C75" i="20"/>
  <c r="A76" i="20"/>
  <c r="B523" i="3"/>
  <c r="B76" i="20" s="1"/>
  <c r="C76" i="20"/>
  <c r="A77" i="20"/>
  <c r="B524" i="3"/>
  <c r="B77" i="20" s="1"/>
  <c r="C77" i="20"/>
  <c r="A78" i="20"/>
  <c r="B525" i="3"/>
  <c r="B78" i="20" s="1"/>
  <c r="C78" i="20"/>
  <c r="A79" i="20"/>
  <c r="B526" i="3"/>
  <c r="B79" i="20" s="1"/>
  <c r="C79" i="20"/>
  <c r="A80" i="20"/>
  <c r="B527" i="3"/>
  <c r="B80" i="20" s="1"/>
  <c r="C80" i="20"/>
  <c r="A81" i="20"/>
  <c r="B528" i="3"/>
  <c r="B81" i="20" s="1"/>
  <c r="C81" i="20"/>
  <c r="A82" i="20"/>
  <c r="B529" i="3"/>
  <c r="B82" i="20" s="1"/>
  <c r="C82" i="20"/>
  <c r="A83" i="20"/>
  <c r="B530" i="3"/>
  <c r="B83" i="20" s="1"/>
  <c r="C83" i="20"/>
  <c r="A84" i="20"/>
  <c r="B531" i="3"/>
  <c r="B84" i="20" s="1"/>
  <c r="C84" i="20"/>
  <c r="A85" i="20"/>
  <c r="B532" i="3"/>
  <c r="B85" i="20" s="1"/>
  <c r="C85" i="20"/>
  <c r="A86" i="20"/>
  <c r="B533" i="3"/>
  <c r="B86" i="20" s="1"/>
  <c r="C86" i="20"/>
  <c r="A87" i="20"/>
  <c r="B534" i="3"/>
  <c r="B87" i="20" s="1"/>
  <c r="C87" i="20"/>
  <c r="A88" i="20"/>
  <c r="B535" i="3"/>
  <c r="B88" i="20" s="1"/>
  <c r="C88" i="20"/>
  <c r="A89" i="20"/>
  <c r="B536" i="3"/>
  <c r="B89" i="20" s="1"/>
  <c r="C89" i="20"/>
  <c r="A90" i="20"/>
  <c r="B537" i="3"/>
  <c r="B90" i="20" s="1"/>
  <c r="C90" i="20"/>
  <c r="A91" i="20"/>
  <c r="B538" i="3"/>
  <c r="B91" i="20" s="1"/>
  <c r="C91" i="20"/>
  <c r="A92" i="20"/>
  <c r="B539" i="3"/>
  <c r="B92" i="20" s="1"/>
  <c r="C92" i="20"/>
  <c r="A93" i="20"/>
  <c r="B540" i="3"/>
  <c r="B93" i="20" s="1"/>
  <c r="C93" i="20"/>
  <c r="A94" i="20"/>
  <c r="B541" i="3"/>
  <c r="B94" i="20" s="1"/>
  <c r="C94" i="20"/>
  <c r="A95" i="20"/>
  <c r="B542" i="3"/>
  <c r="B95" i="20" s="1"/>
  <c r="C95" i="20"/>
  <c r="A96" i="20"/>
  <c r="B543" i="3"/>
  <c r="B96" i="20" s="1"/>
  <c r="C96" i="20"/>
  <c r="A97" i="20"/>
  <c r="B544" i="3"/>
  <c r="B97" i="20" s="1"/>
  <c r="C97" i="20"/>
  <c r="A98" i="20"/>
  <c r="B545" i="3"/>
  <c r="B98" i="20" s="1"/>
  <c r="C98" i="20"/>
  <c r="A99" i="20"/>
  <c r="B546" i="3"/>
  <c r="B99" i="20" s="1"/>
  <c r="C99" i="20"/>
  <c r="A100" i="20"/>
  <c r="B547" i="3"/>
  <c r="B100" i="20" s="1"/>
  <c r="C100" i="20"/>
  <c r="A101" i="20"/>
  <c r="B548" i="3"/>
  <c r="B101" i="20" s="1"/>
  <c r="C101" i="20"/>
  <c r="A102" i="20"/>
  <c r="B549" i="3"/>
  <c r="B102" i="20" s="1"/>
  <c r="C102" i="20"/>
  <c r="A103" i="20"/>
  <c r="B550" i="3"/>
  <c r="B103" i="20" s="1"/>
  <c r="C103" i="20"/>
  <c r="A104" i="20"/>
  <c r="B551" i="3"/>
  <c r="B104" i="20" s="1"/>
  <c r="C104" i="20"/>
  <c r="A105" i="20"/>
  <c r="B552" i="3"/>
  <c r="B105" i="20" s="1"/>
  <c r="C105" i="20"/>
  <c r="A106" i="20"/>
  <c r="B553" i="3"/>
  <c r="B106" i="20" s="1"/>
  <c r="C106" i="20"/>
  <c r="A107" i="20"/>
  <c r="B554" i="3"/>
  <c r="B107" i="20" s="1"/>
  <c r="C107" i="20"/>
  <c r="A108" i="20"/>
  <c r="B555" i="3"/>
  <c r="B108" i="20" s="1"/>
  <c r="C108" i="20"/>
  <c r="A109" i="20"/>
  <c r="B556" i="3"/>
  <c r="B109" i="20" s="1"/>
  <c r="C109" i="20"/>
  <c r="A110" i="20"/>
  <c r="B557" i="3"/>
  <c r="B110" i="20" s="1"/>
  <c r="C110" i="20"/>
  <c r="A111" i="20"/>
  <c r="B558" i="3"/>
  <c r="B111" i="20" s="1"/>
  <c r="C111" i="20"/>
  <c r="A112" i="20"/>
  <c r="B559" i="3"/>
  <c r="B112" i="20" s="1"/>
  <c r="C112" i="20"/>
  <c r="A113" i="20"/>
  <c r="B560" i="3"/>
  <c r="B113" i="20" s="1"/>
  <c r="C113" i="20"/>
  <c r="A114" i="20"/>
  <c r="B561" i="3"/>
  <c r="B114" i="20" s="1"/>
  <c r="C114" i="20"/>
  <c r="A115" i="20"/>
  <c r="B562" i="3"/>
  <c r="B115" i="20" s="1"/>
  <c r="C115" i="20"/>
  <c r="A116" i="20"/>
  <c r="B563" i="3"/>
  <c r="B116" i="20" s="1"/>
  <c r="C116" i="20"/>
  <c r="A117" i="20"/>
  <c r="B564" i="3"/>
  <c r="B117" i="20" s="1"/>
  <c r="C117" i="20"/>
  <c r="A118" i="20"/>
  <c r="B565" i="3"/>
  <c r="B118" i="20" s="1"/>
  <c r="C118" i="20"/>
  <c r="A119" i="20"/>
  <c r="B566" i="3"/>
  <c r="B119" i="20" s="1"/>
  <c r="C119" i="20"/>
  <c r="A120" i="20"/>
  <c r="B567" i="3"/>
  <c r="B120" i="20" s="1"/>
  <c r="C120" i="20"/>
  <c r="A121" i="20"/>
  <c r="B568" i="3"/>
  <c r="B121" i="20" s="1"/>
  <c r="C121" i="20"/>
  <c r="A122" i="20"/>
  <c r="B569" i="3"/>
  <c r="B122" i="20" s="1"/>
  <c r="C122" i="20"/>
  <c r="A123" i="20"/>
  <c r="B570" i="3"/>
  <c r="B123" i="20" s="1"/>
  <c r="C123" i="20"/>
  <c r="A124" i="20"/>
  <c r="B571" i="3"/>
  <c r="B124" i="20" s="1"/>
  <c r="C124" i="20"/>
  <c r="A125" i="20"/>
  <c r="B572" i="3"/>
  <c r="B125" i="20" s="1"/>
  <c r="C125" i="20"/>
  <c r="A126" i="20"/>
  <c r="B573" i="3"/>
  <c r="B126" i="20" s="1"/>
  <c r="C126" i="20"/>
  <c r="A127" i="20"/>
  <c r="B574" i="3"/>
  <c r="B127" i="20" s="1"/>
  <c r="C127" i="20"/>
  <c r="A128" i="20"/>
  <c r="B575" i="3"/>
  <c r="B128" i="20" s="1"/>
  <c r="C128" i="20"/>
  <c r="A129" i="20"/>
  <c r="B576" i="3"/>
  <c r="B129" i="20" s="1"/>
  <c r="C129" i="20"/>
  <c r="A130" i="20"/>
  <c r="B577" i="3"/>
  <c r="B130" i="20" s="1"/>
  <c r="C130" i="20"/>
  <c r="A131" i="20"/>
  <c r="B578" i="3"/>
  <c r="B131" i="20" s="1"/>
  <c r="C131" i="20"/>
  <c r="A132" i="20"/>
  <c r="B579" i="3"/>
  <c r="B132" i="20" s="1"/>
  <c r="C132" i="20"/>
  <c r="A133" i="20"/>
  <c r="B580" i="3"/>
  <c r="B133" i="20" s="1"/>
  <c r="C133" i="20"/>
  <c r="A134" i="20"/>
  <c r="B581" i="3"/>
  <c r="B134" i="20" s="1"/>
  <c r="C134" i="20"/>
  <c r="A135" i="20"/>
  <c r="B582" i="3"/>
  <c r="B135" i="20" s="1"/>
  <c r="C135" i="20"/>
  <c r="A136" i="20"/>
  <c r="B583" i="3"/>
  <c r="B136" i="20" s="1"/>
  <c r="C136" i="20"/>
  <c r="A137" i="20"/>
  <c r="B584" i="3"/>
  <c r="B137" i="20" s="1"/>
  <c r="C137" i="20"/>
  <c r="A138" i="20"/>
  <c r="B585" i="3"/>
  <c r="B138" i="20" s="1"/>
  <c r="C138" i="20"/>
  <c r="A139" i="20"/>
  <c r="B586" i="3"/>
  <c r="B139" i="20" s="1"/>
  <c r="C139" i="20"/>
  <c r="A140" i="20"/>
  <c r="B587" i="3"/>
  <c r="B140" i="20" s="1"/>
  <c r="C140" i="20"/>
  <c r="A141" i="20"/>
  <c r="B588" i="3"/>
  <c r="B141" i="20" s="1"/>
  <c r="C141" i="20"/>
  <c r="A142" i="20"/>
  <c r="B589" i="3"/>
  <c r="B142" i="20" s="1"/>
  <c r="C142" i="20"/>
  <c r="A143" i="20"/>
  <c r="B590" i="3"/>
  <c r="B143" i="20" s="1"/>
  <c r="C143" i="20"/>
  <c r="A144" i="20"/>
  <c r="B591" i="3"/>
  <c r="B144" i="20" s="1"/>
  <c r="C144" i="20"/>
  <c r="A145" i="20"/>
  <c r="B592" i="3"/>
  <c r="B145" i="20" s="1"/>
  <c r="C145" i="20"/>
  <c r="A146" i="20"/>
  <c r="B593" i="3"/>
  <c r="B146" i="20" s="1"/>
  <c r="C146" i="20"/>
  <c r="A147" i="20"/>
  <c r="B594" i="3"/>
  <c r="B147" i="20" s="1"/>
  <c r="C147" i="20"/>
  <c r="A148" i="20"/>
  <c r="B595" i="3"/>
  <c r="B148" i="20" s="1"/>
  <c r="C148" i="20"/>
  <c r="A149" i="20"/>
  <c r="B596" i="3"/>
  <c r="B149" i="20" s="1"/>
  <c r="C149" i="20"/>
  <c r="A150" i="20"/>
  <c r="B597" i="3"/>
  <c r="B150" i="20" s="1"/>
  <c r="C150" i="20"/>
  <c r="A151" i="20"/>
  <c r="B598" i="3"/>
  <c r="B151" i="20" s="1"/>
  <c r="C151" i="20"/>
  <c r="A60" i="20"/>
  <c r="B507" i="3"/>
  <c r="B60" i="20" s="1"/>
  <c r="C60" i="20"/>
  <c r="A61" i="20"/>
  <c r="B508" i="3"/>
  <c r="B61" i="20" s="1"/>
  <c r="C61" i="20"/>
  <c r="D18" i="3"/>
  <c r="B13" i="36"/>
  <c r="A23" i="48" s="1"/>
  <c r="B14" i="36"/>
  <c r="B18" i="36"/>
  <c r="B16" i="44" s="1"/>
  <c r="B23" i="36"/>
  <c r="B21" i="44" s="1"/>
  <c r="B24" i="36"/>
  <c r="B25" i="36"/>
  <c r="B23" i="44" s="1"/>
  <c r="B26" i="36"/>
  <c r="B24" i="44" s="1"/>
  <c r="B27" i="36"/>
  <c r="B28" i="36"/>
  <c r="B26" i="44" s="1"/>
  <c r="B29" i="36"/>
  <c r="B27" i="44" s="1"/>
  <c r="B30" i="36"/>
  <c r="B28" i="44" s="1"/>
  <c r="A3" i="25"/>
  <c r="C3" i="44"/>
  <c r="B7" i="44"/>
  <c r="B4" i="44"/>
  <c r="B5" i="44"/>
  <c r="B3" i="44"/>
  <c r="C11" i="44"/>
  <c r="A43" i="20"/>
  <c r="C43" i="20"/>
  <c r="A44" i="20"/>
  <c r="C44" i="20"/>
  <c r="A45" i="20"/>
  <c r="C45" i="20"/>
  <c r="A46" i="20"/>
  <c r="C46" i="20"/>
  <c r="A47" i="20"/>
  <c r="C47" i="20"/>
  <c r="A48" i="20"/>
  <c r="C48" i="20"/>
  <c r="A49" i="20"/>
  <c r="C49" i="20"/>
  <c r="A50" i="20"/>
  <c r="C50" i="20"/>
  <c r="A51" i="20"/>
  <c r="C51" i="20"/>
  <c r="A52" i="20"/>
  <c r="C52" i="20"/>
  <c r="A53" i="20"/>
  <c r="C53" i="20"/>
  <c r="A54" i="20"/>
  <c r="C54" i="20"/>
  <c r="A55" i="20"/>
  <c r="C55" i="20"/>
  <c r="A56" i="20"/>
  <c r="C56" i="20"/>
  <c r="A57" i="20"/>
  <c r="C57" i="20"/>
  <c r="A58" i="20"/>
  <c r="C58" i="20"/>
  <c r="A59" i="20"/>
  <c r="C59" i="20"/>
  <c r="B464" i="3"/>
  <c r="B17" i="20" s="1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B465" i="3"/>
  <c r="B18" i="20" s="1"/>
  <c r="B466" i="3"/>
  <c r="B19" i="20" s="1"/>
  <c r="B467" i="3"/>
  <c r="B20" i="20" s="1"/>
  <c r="B468" i="3"/>
  <c r="B21" i="20" s="1"/>
  <c r="B469" i="3"/>
  <c r="B22" i="20" s="1"/>
  <c r="B470" i="3"/>
  <c r="B23" i="20" s="1"/>
  <c r="B471" i="3"/>
  <c r="B24" i="20" s="1"/>
  <c r="B472" i="3"/>
  <c r="B25" i="20" s="1"/>
  <c r="B473" i="3"/>
  <c r="B26" i="20" s="1"/>
  <c r="B474" i="3"/>
  <c r="B27" i="20" s="1"/>
  <c r="B475" i="3"/>
  <c r="B28" i="20" s="1"/>
  <c r="B476" i="3"/>
  <c r="B29" i="20" s="1"/>
  <c r="B477" i="3"/>
  <c r="B30" i="20" s="1"/>
  <c r="B478" i="3"/>
  <c r="B31" i="20" s="1"/>
  <c r="B479" i="3"/>
  <c r="B32" i="20" s="1"/>
  <c r="B480" i="3"/>
  <c r="B33" i="20" s="1"/>
  <c r="B481" i="3"/>
  <c r="B34" i="20" s="1"/>
  <c r="B482" i="3"/>
  <c r="B35" i="20" s="1"/>
  <c r="B483" i="3"/>
  <c r="B36" i="20" s="1"/>
  <c r="B484" i="3"/>
  <c r="B37" i="20" s="1"/>
  <c r="B485" i="3"/>
  <c r="B38" i="20" s="1"/>
  <c r="B486" i="3"/>
  <c r="B39" i="20" s="1"/>
  <c r="B487" i="3"/>
  <c r="B40" i="20" s="1"/>
  <c r="B488" i="3"/>
  <c r="B41" i="20" s="1"/>
  <c r="B489" i="3"/>
  <c r="B42" i="20" s="1"/>
  <c r="B490" i="3"/>
  <c r="B43" i="20" s="1"/>
  <c r="B491" i="3"/>
  <c r="B44" i="20" s="1"/>
  <c r="B492" i="3"/>
  <c r="B45" i="20" s="1"/>
  <c r="B493" i="3"/>
  <c r="B46" i="20" s="1"/>
  <c r="B494" i="3"/>
  <c r="B47" i="20" s="1"/>
  <c r="B495" i="3"/>
  <c r="B48" i="20" s="1"/>
  <c r="B496" i="3"/>
  <c r="B49" i="20" s="1"/>
  <c r="B497" i="3"/>
  <c r="B50" i="20" s="1"/>
  <c r="B498" i="3"/>
  <c r="B51" i="20" s="1"/>
  <c r="B499" i="3"/>
  <c r="B52" i="20" s="1"/>
  <c r="B500" i="3"/>
  <c r="B53" i="20" s="1"/>
  <c r="B501" i="3"/>
  <c r="B54" i="20" s="1"/>
  <c r="B502" i="3"/>
  <c r="B55" i="20" s="1"/>
  <c r="B503" i="3"/>
  <c r="B56" i="20" s="1"/>
  <c r="B504" i="3"/>
  <c r="B57" i="20" s="1"/>
  <c r="B505" i="3"/>
  <c r="B58" i="20" s="1"/>
  <c r="B506" i="3"/>
  <c r="B59" i="20" s="1"/>
  <c r="B460" i="3"/>
  <c r="C460" i="3"/>
  <c r="B461" i="3"/>
  <c r="C461" i="3"/>
  <c r="B462" i="3"/>
  <c r="C462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125" i="3"/>
  <c r="B126" i="3"/>
  <c r="B127" i="3"/>
  <c r="F29" i="36"/>
  <c r="F30" i="36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D11" i="44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61" i="3"/>
  <c r="H61" i="3" s="1"/>
  <c r="I78" i="3"/>
  <c r="H78" i="3" s="1"/>
  <c r="I79" i="3"/>
  <c r="H79" i="3" s="1"/>
  <c r="I80" i="3"/>
  <c r="H80" i="3" s="1"/>
  <c r="I81" i="3"/>
  <c r="H81" i="3" s="1"/>
  <c r="I82" i="3"/>
  <c r="H82" i="3" s="1"/>
  <c r="I17" i="3"/>
  <c r="F11" i="44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G372" i="2"/>
  <c r="F373" i="2"/>
  <c r="G373" i="2"/>
  <c r="G65" i="2"/>
  <c r="F65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12" i="2"/>
  <c r="A17" i="20"/>
  <c r="C17" i="20"/>
  <c r="A18" i="20"/>
  <c r="C18" i="20"/>
  <c r="A19" i="20"/>
  <c r="C19" i="20"/>
  <c r="J8" i="31"/>
  <c r="E35" i="47"/>
  <c r="C2" i="41"/>
  <c r="B16" i="46"/>
  <c r="F10" i="46"/>
  <c r="E10" i="46"/>
  <c r="B10" i="46"/>
  <c r="A10" i="46"/>
  <c r="E116" i="46"/>
  <c r="B24" i="46"/>
  <c r="B25" i="46"/>
  <c r="B14" i="46"/>
  <c r="B15" i="46"/>
  <c r="B17" i="46"/>
  <c r="B18" i="46"/>
  <c r="B19" i="46"/>
  <c r="B20" i="46"/>
  <c r="B21" i="46"/>
  <c r="B22" i="46"/>
  <c r="B23" i="46"/>
  <c r="B13" i="46"/>
  <c r="B4" i="46"/>
  <c r="A5" i="46"/>
  <c r="A6" i="46"/>
  <c r="A8" i="46"/>
  <c r="A4" i="46"/>
  <c r="D113" i="44"/>
  <c r="B9" i="45"/>
  <c r="C178" i="45"/>
  <c r="E269" i="20"/>
  <c r="A12" i="45"/>
  <c r="B12" i="45"/>
  <c r="C12" i="45"/>
  <c r="D12" i="45"/>
  <c r="E11" i="44"/>
  <c r="B15" i="36"/>
  <c r="B13" i="44" s="1"/>
  <c r="B16" i="36"/>
  <c r="B14" i="44" s="1"/>
  <c r="B17" i="36"/>
  <c r="B15" i="44" s="1"/>
  <c r="B19" i="36"/>
  <c r="B17" i="44" s="1"/>
  <c r="B20" i="36"/>
  <c r="B18" i="44" s="1"/>
  <c r="B21" i="36"/>
  <c r="B19" i="44" s="1"/>
  <c r="B22" i="36"/>
  <c r="B20" i="44" s="1"/>
  <c r="B31" i="36"/>
  <c r="B29" i="44" s="1"/>
  <c r="B32" i="36"/>
  <c r="B30" i="44" s="1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J30" i="36"/>
  <c r="J51" i="36"/>
  <c r="J61" i="36"/>
  <c r="A21" i="20"/>
  <c r="C21" i="20"/>
  <c r="A22" i="20"/>
  <c r="C22" i="20"/>
  <c r="A23" i="20"/>
  <c r="C23" i="20"/>
  <c r="A24" i="20"/>
  <c r="C24" i="20"/>
  <c r="A25" i="20"/>
  <c r="C25" i="20"/>
  <c r="A26" i="20"/>
  <c r="C26" i="20"/>
  <c r="A27" i="20"/>
  <c r="C27" i="20"/>
  <c r="A28" i="20"/>
  <c r="C28" i="20"/>
  <c r="A29" i="20"/>
  <c r="C29" i="20"/>
  <c r="A30" i="20"/>
  <c r="C30" i="20"/>
  <c r="A31" i="20"/>
  <c r="C31" i="20"/>
  <c r="A32" i="20"/>
  <c r="C32" i="20"/>
  <c r="A33" i="20"/>
  <c r="C33" i="20"/>
  <c r="A34" i="20"/>
  <c r="C34" i="20"/>
  <c r="A35" i="20"/>
  <c r="C35" i="20"/>
  <c r="A36" i="20"/>
  <c r="C36" i="20"/>
  <c r="A37" i="20"/>
  <c r="C37" i="20"/>
  <c r="A38" i="20"/>
  <c r="C38" i="20"/>
  <c r="A39" i="20"/>
  <c r="C39" i="20"/>
  <c r="A40" i="20"/>
  <c r="C40" i="20"/>
  <c r="A41" i="20"/>
  <c r="C41" i="20"/>
  <c r="A42" i="20"/>
  <c r="C42" i="20"/>
  <c r="B14" i="3"/>
  <c r="C14" i="3"/>
  <c r="A20" i="20"/>
  <c r="C20" i="20"/>
  <c r="C173" i="3"/>
  <c r="A111" i="25"/>
  <c r="F111" i="25" s="1"/>
  <c r="A112" i="25"/>
  <c r="F112" i="25" s="1"/>
  <c r="A113" i="25"/>
  <c r="F113" i="25" s="1"/>
  <c r="A114" i="25"/>
  <c r="F114" i="25" s="1"/>
  <c r="A115" i="25"/>
  <c r="F115" i="25" s="1"/>
  <c r="A116" i="25"/>
  <c r="A117" i="25"/>
  <c r="F117" i="25" s="1"/>
  <c r="A118" i="25"/>
  <c r="F118" i="25" s="1"/>
  <c r="A119" i="25"/>
  <c r="F119" i="25" s="1"/>
  <c r="A120" i="25"/>
  <c r="A121" i="25"/>
  <c r="F121" i="25" s="1"/>
  <c r="A122" i="25"/>
  <c r="F122" i="25" s="1"/>
  <c r="A123" i="25"/>
  <c r="F123" i="25" s="1"/>
  <c r="A124" i="25"/>
  <c r="F124" i="25" s="1"/>
  <c r="A125" i="25"/>
  <c r="F125" i="25" s="1"/>
  <c r="A126" i="25"/>
  <c r="A127" i="25"/>
  <c r="F127" i="25" s="1"/>
  <c r="A128" i="25"/>
  <c r="F128" i="25" s="1"/>
  <c r="A129" i="25"/>
  <c r="F129" i="25" s="1"/>
  <c r="A130" i="25"/>
  <c r="A131" i="25"/>
  <c r="F131" i="25" s="1"/>
  <c r="A132" i="25"/>
  <c r="F132" i="25" s="1"/>
  <c r="A133" i="25"/>
  <c r="F133" i="25" s="1"/>
  <c r="A134" i="25"/>
  <c r="A135" i="25"/>
  <c r="A136" i="25"/>
  <c r="F136" i="25" s="1"/>
  <c r="A137" i="25"/>
  <c r="F137" i="25" s="1"/>
  <c r="A138" i="25"/>
  <c r="F138" i="25" s="1"/>
  <c r="A139" i="25"/>
  <c r="A140" i="25"/>
  <c r="F140" i="25" s="1"/>
  <c r="A141" i="25"/>
  <c r="F141" i="25" s="1"/>
  <c r="A142" i="25"/>
  <c r="F142" i="25" s="1"/>
  <c r="A143" i="25"/>
  <c r="F143" i="25" s="1"/>
  <c r="A144" i="25"/>
  <c r="F144" i="25" s="1"/>
  <c r="A145" i="25"/>
  <c r="F145" i="25" s="1"/>
  <c r="A146" i="25"/>
  <c r="F146" i="25" s="1"/>
  <c r="A147" i="25"/>
  <c r="F147" i="25" s="1"/>
  <c r="A148" i="25"/>
  <c r="F148" i="25" s="1"/>
  <c r="A149" i="25"/>
  <c r="A150" i="25"/>
  <c r="F150" i="25" s="1"/>
  <c r="A151" i="25"/>
  <c r="F151" i="25" s="1"/>
  <c r="A152" i="25"/>
  <c r="F152" i="25" s="1"/>
  <c r="A153" i="25"/>
  <c r="F153" i="25" s="1"/>
  <c r="A154" i="25"/>
  <c r="F154" i="25" s="1"/>
  <c r="A155" i="25"/>
  <c r="A156" i="25"/>
  <c r="F156" i="25" s="1"/>
  <c r="A157" i="25"/>
  <c r="A158" i="25"/>
  <c r="F158" i="25" s="1"/>
  <c r="A159" i="25"/>
  <c r="F159" i="25" s="1"/>
  <c r="A160" i="25"/>
  <c r="F160" i="25" s="1"/>
  <c r="A161" i="25"/>
  <c r="A162" i="25"/>
  <c r="F162" i="25" s="1"/>
  <c r="A163" i="25"/>
  <c r="F163" i="25" s="1"/>
  <c r="A164" i="25"/>
  <c r="F164" i="25" s="1"/>
  <c r="A165" i="25"/>
  <c r="F165" i="25" s="1"/>
  <c r="A166" i="25"/>
  <c r="F166" i="25" s="1"/>
  <c r="A167" i="25"/>
  <c r="F167" i="25" s="1"/>
  <c r="A168" i="25"/>
  <c r="F168" i="25" s="1"/>
  <c r="A169" i="25"/>
  <c r="F169" i="25" s="1"/>
  <c r="A170" i="25"/>
  <c r="F170" i="25" s="1"/>
  <c r="A171" i="25"/>
  <c r="F171" i="25" s="1"/>
  <c r="A172" i="25"/>
  <c r="F172" i="25" s="1"/>
  <c r="A173" i="25"/>
  <c r="F173" i="25" s="1"/>
  <c r="A174" i="25"/>
  <c r="F174" i="25" s="1"/>
  <c r="A175" i="25"/>
  <c r="F175" i="25" s="1"/>
  <c r="A176" i="25"/>
  <c r="A177" i="25"/>
  <c r="F177" i="25" s="1"/>
  <c r="A178" i="25"/>
  <c r="F178" i="25" s="1"/>
  <c r="A179" i="25"/>
  <c r="F179" i="25" s="1"/>
  <c r="A180" i="25"/>
  <c r="F180" i="25" s="1"/>
  <c r="A181" i="25"/>
  <c r="A182" i="25"/>
  <c r="F182" i="25" s="1"/>
  <c r="A183" i="25"/>
  <c r="F183" i="25" s="1"/>
  <c r="A184" i="25"/>
  <c r="F184" i="25" s="1"/>
  <c r="A185" i="25"/>
  <c r="F185" i="25" s="1"/>
  <c r="A186" i="25"/>
  <c r="A187" i="25"/>
  <c r="F187" i="25" s="1"/>
  <c r="A188" i="25"/>
  <c r="F188" i="25" s="1"/>
  <c r="A189" i="25"/>
  <c r="F189" i="25" s="1"/>
  <c r="A190" i="25"/>
  <c r="F190" i="25" s="1"/>
  <c r="A191" i="25"/>
  <c r="F191" i="25" s="1"/>
  <c r="A192" i="25"/>
  <c r="F192" i="25" s="1"/>
  <c r="A193" i="25"/>
  <c r="F193" i="25" s="1"/>
  <c r="A194" i="25"/>
  <c r="F194" i="25" s="1"/>
  <c r="A195" i="25"/>
  <c r="A196" i="25"/>
  <c r="F196" i="25" s="1"/>
  <c r="A197" i="25"/>
  <c r="F197" i="25" s="1"/>
  <c r="A198" i="25"/>
  <c r="F198" i="25" s="1"/>
  <c r="A199" i="25"/>
  <c r="F199" i="25" s="1"/>
  <c r="A200" i="25"/>
  <c r="A201" i="25"/>
  <c r="F201" i="25" s="1"/>
  <c r="A202" i="25"/>
  <c r="F202" i="25" s="1"/>
  <c r="A203" i="25"/>
  <c r="F203" i="25" s="1"/>
  <c r="A204" i="25"/>
  <c r="F204" i="25" s="1"/>
  <c r="A205" i="25"/>
  <c r="F205" i="25" s="1"/>
  <c r="A206" i="25"/>
  <c r="F206" i="25" s="1"/>
  <c r="A207" i="25"/>
  <c r="F207" i="25" s="1"/>
  <c r="A208" i="25"/>
  <c r="F208" i="25" s="1"/>
  <c r="A209" i="25"/>
  <c r="F209" i="25" s="1"/>
  <c r="A210" i="25"/>
  <c r="F210" i="25" s="1"/>
  <c r="A211" i="25"/>
  <c r="F211" i="25" s="1"/>
  <c r="A212" i="25"/>
  <c r="F212" i="25" s="1"/>
  <c r="A213" i="25"/>
  <c r="F213" i="25" s="1"/>
  <c r="A214" i="25"/>
  <c r="F214" i="25" s="1"/>
  <c r="A215" i="25"/>
  <c r="A216" i="25"/>
  <c r="A217" i="25"/>
  <c r="F217" i="25" s="1"/>
  <c r="A218" i="25"/>
  <c r="F218" i="25" s="1"/>
  <c r="A219" i="25"/>
  <c r="A220" i="25"/>
  <c r="F220" i="25" s="1"/>
  <c r="A221" i="25"/>
  <c r="F221" i="25" s="1"/>
  <c r="A222" i="25"/>
  <c r="F222" i="25" s="1"/>
  <c r="A223" i="25"/>
  <c r="F223" i="25" s="1"/>
  <c r="A224" i="25"/>
  <c r="A225" i="25"/>
  <c r="A226" i="25"/>
  <c r="F226" i="25" s="1"/>
  <c r="A227" i="25"/>
  <c r="F227" i="25" s="1"/>
  <c r="A228" i="25"/>
  <c r="A229" i="25"/>
  <c r="F229" i="25" s="1"/>
  <c r="A230" i="25"/>
  <c r="F230" i="25" s="1"/>
  <c r="A231" i="25"/>
  <c r="F231" i="25" s="1"/>
  <c r="A232" i="25"/>
  <c r="F232" i="25" s="1"/>
  <c r="A233" i="25"/>
  <c r="F233" i="25" s="1"/>
  <c r="A234" i="25"/>
  <c r="A235" i="25"/>
  <c r="F235" i="25" s="1"/>
  <c r="A236" i="25"/>
  <c r="F236" i="25" s="1"/>
  <c r="A237" i="25"/>
  <c r="F237" i="25" s="1"/>
  <c r="A238" i="25"/>
  <c r="F238" i="25" s="1"/>
  <c r="A239" i="25"/>
  <c r="F239" i="25" s="1"/>
  <c r="A240" i="25"/>
  <c r="A241" i="25"/>
  <c r="A242" i="25"/>
  <c r="F242" i="25" s="1"/>
  <c r="A243" i="25"/>
  <c r="F243" i="25" s="1"/>
  <c r="A244" i="25"/>
  <c r="F244" i="25" s="1"/>
  <c r="A245" i="25"/>
  <c r="F245" i="25" s="1"/>
  <c r="A246" i="25"/>
  <c r="A247" i="25"/>
  <c r="F247" i="25" s="1"/>
  <c r="A248" i="25"/>
  <c r="F248" i="25" s="1"/>
  <c r="A249" i="25"/>
  <c r="F249" i="25" s="1"/>
  <c r="A250" i="25"/>
  <c r="A251" i="25"/>
  <c r="F251" i="25" s="1"/>
  <c r="A252" i="25"/>
  <c r="A253" i="25"/>
  <c r="F253" i="25" s="1"/>
  <c r="A254" i="25"/>
  <c r="F254" i="25" s="1"/>
  <c r="A255" i="25"/>
  <c r="A256" i="25"/>
  <c r="F256" i="25" s="1"/>
  <c r="A257" i="25"/>
  <c r="F257" i="25" s="1"/>
  <c r="A258" i="25"/>
  <c r="F258" i="25" s="1"/>
  <c r="A259" i="25"/>
  <c r="F259" i="25" s="1"/>
  <c r="A260" i="25"/>
  <c r="F260" i="25" s="1"/>
  <c r="A261" i="25"/>
  <c r="F261" i="25" s="1"/>
  <c r="A262" i="25"/>
  <c r="F262" i="25" s="1"/>
  <c r="A263" i="25"/>
  <c r="F263" i="25" s="1"/>
  <c r="A264" i="25"/>
  <c r="F264" i="25" s="1"/>
  <c r="A265" i="25"/>
  <c r="F265" i="25" s="1"/>
  <c r="A266" i="25"/>
  <c r="F266" i="25" s="1"/>
  <c r="A267" i="25"/>
  <c r="F267" i="25" s="1"/>
  <c r="A268" i="25"/>
  <c r="F268" i="25" s="1"/>
  <c r="A269" i="25"/>
  <c r="F269" i="25" s="1"/>
  <c r="A270" i="25"/>
  <c r="F270" i="25" s="1"/>
  <c r="A271" i="25"/>
  <c r="F271" i="25" s="1"/>
  <c r="A272" i="25"/>
  <c r="F272" i="25" s="1"/>
  <c r="A273" i="25"/>
  <c r="A274" i="25"/>
  <c r="F274" i="25" s="1"/>
  <c r="A275" i="25"/>
  <c r="F275" i="25" s="1"/>
  <c r="A276" i="25"/>
  <c r="A277" i="25"/>
  <c r="F277" i="25" s="1"/>
  <c r="A278" i="25"/>
  <c r="F278" i="25" s="1"/>
  <c r="A279" i="25"/>
  <c r="F279" i="25" s="1"/>
  <c r="A280" i="25"/>
  <c r="A281" i="25"/>
  <c r="F281" i="25" s="1"/>
  <c r="A282" i="25"/>
  <c r="F282" i="25" s="1"/>
  <c r="A283" i="25"/>
  <c r="F283" i="25" s="1"/>
  <c r="A284" i="25"/>
  <c r="F284" i="25" s="1"/>
  <c r="A285" i="25"/>
  <c r="F285" i="25" s="1"/>
  <c r="A286" i="25"/>
  <c r="A287" i="25"/>
  <c r="F287" i="25" s="1"/>
  <c r="A288" i="25"/>
  <c r="F288" i="25" s="1"/>
  <c r="A289" i="25"/>
  <c r="F289" i="25" s="1"/>
  <c r="A290" i="25"/>
  <c r="F290" i="25" s="1"/>
  <c r="A291" i="25"/>
  <c r="A292" i="25"/>
  <c r="F292" i="25" s="1"/>
  <c r="A293" i="25"/>
  <c r="A294" i="25"/>
  <c r="F294" i="25" s="1"/>
  <c r="A295" i="25"/>
  <c r="F295" i="25" s="1"/>
  <c r="A296" i="25"/>
  <c r="A297" i="25"/>
  <c r="F297" i="25" s="1"/>
  <c r="A298" i="25"/>
  <c r="A299" i="25"/>
  <c r="F299" i="25" s="1"/>
  <c r="A300" i="25"/>
  <c r="F300" i="25" s="1"/>
  <c r="A301" i="25"/>
  <c r="A302" i="25"/>
  <c r="A303" i="25"/>
  <c r="F303" i="25" s="1"/>
  <c r="A304" i="25"/>
  <c r="A305" i="25"/>
  <c r="F305" i="25" s="1"/>
  <c r="A306" i="25"/>
  <c r="F306" i="25" s="1"/>
  <c r="A307" i="25"/>
  <c r="F307" i="25" s="1"/>
  <c r="A308" i="25"/>
  <c r="F308" i="25" s="1"/>
  <c r="A309" i="25"/>
  <c r="A310" i="25"/>
  <c r="F310" i="25" s="1"/>
  <c r="A311" i="25"/>
  <c r="F311" i="25" s="1"/>
  <c r="A312" i="25"/>
  <c r="A313" i="25"/>
  <c r="F313" i="25" s="1"/>
  <c r="A314" i="25"/>
  <c r="A315" i="25"/>
  <c r="F315" i="25" s="1"/>
  <c r="A316" i="25"/>
  <c r="F316" i="25" s="1"/>
  <c r="A317" i="25"/>
  <c r="A318" i="25"/>
  <c r="F318" i="25" s="1"/>
  <c r="A319" i="25"/>
  <c r="F319" i="25" s="1"/>
  <c r="A320" i="25"/>
  <c r="A321" i="25"/>
  <c r="F321" i="25" s="1"/>
  <c r="A322" i="25"/>
  <c r="F322" i="25" s="1"/>
  <c r="A323" i="25"/>
  <c r="A324" i="25"/>
  <c r="F324" i="25" s="1"/>
  <c r="A325" i="25"/>
  <c r="A326" i="25"/>
  <c r="F326" i="25" s="1"/>
  <c r="A327" i="25"/>
  <c r="A328" i="25"/>
  <c r="F328" i="25" s="1"/>
  <c r="A329" i="25"/>
  <c r="F329" i="25" s="1"/>
  <c r="A330" i="25"/>
  <c r="F330" i="25" s="1"/>
  <c r="A331" i="25"/>
  <c r="F331" i="25" s="1"/>
  <c r="A332" i="25"/>
  <c r="A333" i="25"/>
  <c r="A334" i="25"/>
  <c r="F334" i="25" s="1"/>
  <c r="A335" i="25"/>
  <c r="A336" i="25"/>
  <c r="F336" i="25" s="1"/>
  <c r="A337" i="25"/>
  <c r="F337" i="25" s="1"/>
  <c r="A338" i="25"/>
  <c r="A339" i="25"/>
  <c r="A340" i="25"/>
  <c r="F340" i="25" s="1"/>
  <c r="A341" i="25"/>
  <c r="A342" i="25"/>
  <c r="F342" i="25" s="1"/>
  <c r="A343" i="25"/>
  <c r="F343" i="25" s="1"/>
  <c r="A344" i="25"/>
  <c r="F344" i="25" s="1"/>
  <c r="A345" i="25"/>
  <c r="F345" i="25" s="1"/>
  <c r="A346" i="25"/>
  <c r="A347" i="25"/>
  <c r="F347" i="25" s="1"/>
  <c r="A348" i="25"/>
  <c r="F348" i="25" s="1"/>
  <c r="A349" i="25"/>
  <c r="F349" i="25" s="1"/>
  <c r="A350" i="25"/>
  <c r="F350" i="25" s="1"/>
  <c r="A351" i="25"/>
  <c r="A352" i="25"/>
  <c r="F352" i="25" s="1"/>
  <c r="A353" i="25"/>
  <c r="F353" i="25" s="1"/>
  <c r="A354" i="25"/>
  <c r="A355" i="25"/>
  <c r="F355" i="25" s="1"/>
  <c r="A356" i="25"/>
  <c r="O4" i="25"/>
  <c r="N6" i="25"/>
  <c r="A29" i="25"/>
  <c r="A28" i="25"/>
  <c r="A27" i="25"/>
  <c r="A16" i="25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A32" i="25"/>
  <c r="A26" i="25"/>
  <c r="A30" i="25"/>
  <c r="A24" i="25"/>
  <c r="K4" i="11"/>
  <c r="K5" i="11" s="1"/>
  <c r="K6" i="11" s="1"/>
  <c r="K7" i="11" s="1"/>
  <c r="B11" i="20"/>
  <c r="B172" i="3"/>
  <c r="B173" i="3"/>
  <c r="B171" i="3"/>
  <c r="C172" i="3"/>
  <c r="C171" i="3"/>
  <c r="B119" i="3"/>
  <c r="B120" i="3"/>
  <c r="B121" i="3"/>
  <c r="B122" i="3"/>
  <c r="B123" i="3"/>
  <c r="B124" i="3"/>
  <c r="B118" i="3"/>
  <c r="D10" i="2"/>
  <c r="G3" i="11"/>
  <c r="G4" i="11" s="1"/>
  <c r="G5" i="11" s="1"/>
  <c r="G6" i="11" s="1"/>
  <c r="J17" i="31"/>
  <c r="J16" i="31"/>
  <c r="J15" i="31"/>
  <c r="J14" i="31"/>
  <c r="J13" i="31"/>
  <c r="J12" i="31"/>
  <c r="J11" i="31"/>
  <c r="J10" i="31"/>
  <c r="J9" i="31"/>
  <c r="L15" i="30"/>
  <c r="L14" i="30"/>
  <c r="L13" i="30"/>
  <c r="L12" i="30"/>
  <c r="L11" i="30"/>
  <c r="L10" i="30"/>
  <c r="L9" i="30"/>
  <c r="L8" i="30"/>
  <c r="L7" i="30"/>
  <c r="J14" i="29"/>
  <c r="J13" i="29"/>
  <c r="J12" i="29"/>
  <c r="J11" i="29"/>
  <c r="J10" i="29"/>
  <c r="J7" i="29" s="1"/>
  <c r="F18" i="1" s="1"/>
  <c r="J9" i="29"/>
  <c r="J6" i="29" s="1"/>
  <c r="L4" i="25"/>
  <c r="A107" i="25"/>
  <c r="F107" i="25" s="1"/>
  <c r="A108" i="25"/>
  <c r="F108" i="25" s="1"/>
  <c r="A109" i="25"/>
  <c r="F109" i="25" s="1"/>
  <c r="A110" i="25"/>
  <c r="F110" i="25" s="1"/>
  <c r="A93" i="25"/>
  <c r="F93" i="25" s="1"/>
  <c r="A94" i="25"/>
  <c r="F94" i="25" s="1"/>
  <c r="A95" i="25"/>
  <c r="F95" i="25" s="1"/>
  <c r="A96" i="25"/>
  <c r="F96" i="25" s="1"/>
  <c r="A97" i="25"/>
  <c r="F97" i="25" s="1"/>
  <c r="A98" i="25"/>
  <c r="F98" i="25" s="1"/>
  <c r="A99" i="25"/>
  <c r="F99" i="25" s="1"/>
  <c r="A100" i="25"/>
  <c r="F100" i="25" s="1"/>
  <c r="A101" i="25"/>
  <c r="F101" i="25" s="1"/>
  <c r="A102" i="25"/>
  <c r="F102" i="25" s="1"/>
  <c r="A103" i="25"/>
  <c r="F103" i="25" s="1"/>
  <c r="A104" i="25"/>
  <c r="F104" i="25" s="1"/>
  <c r="A105" i="25"/>
  <c r="F105" i="25" s="1"/>
  <c r="A106" i="25"/>
  <c r="F106" i="25" s="1"/>
  <c r="A83" i="25"/>
  <c r="F83" i="25" s="1"/>
  <c r="A84" i="25"/>
  <c r="F84" i="25" s="1"/>
  <c r="A85" i="25"/>
  <c r="F85" i="25" s="1"/>
  <c r="A86" i="25"/>
  <c r="A87" i="25"/>
  <c r="F87" i="25" s="1"/>
  <c r="A88" i="25"/>
  <c r="F88" i="25" s="1"/>
  <c r="A89" i="25"/>
  <c r="F89" i="25" s="1"/>
  <c r="A90" i="25"/>
  <c r="F90" i="25" s="1"/>
  <c r="A91" i="25"/>
  <c r="F91" i="25" s="1"/>
  <c r="A92" i="25"/>
  <c r="F92" i="25" s="1"/>
  <c r="A76" i="25"/>
  <c r="A77" i="25"/>
  <c r="F77" i="25" s="1"/>
  <c r="A78" i="25"/>
  <c r="F78" i="25" s="1"/>
  <c r="A79" i="25"/>
  <c r="F79" i="25" s="1"/>
  <c r="A80" i="25"/>
  <c r="F80" i="25" s="1"/>
  <c r="A81" i="25"/>
  <c r="F81" i="25" s="1"/>
  <c r="A82" i="25"/>
  <c r="A71" i="25"/>
  <c r="F71" i="25" s="1"/>
  <c r="A72" i="25"/>
  <c r="F72" i="25" s="1"/>
  <c r="A73" i="25"/>
  <c r="F73" i="25" s="1"/>
  <c r="A74" i="25"/>
  <c r="F74" i="25" s="1"/>
  <c r="A75" i="25"/>
  <c r="F75" i="25" s="1"/>
  <c r="A63" i="25"/>
  <c r="F63" i="25" s="1"/>
  <c r="A64" i="25"/>
  <c r="F64" i="25" s="1"/>
  <c r="A65" i="25"/>
  <c r="F65" i="25" s="1"/>
  <c r="A66" i="25"/>
  <c r="F66" i="25" s="1"/>
  <c r="A67" i="25"/>
  <c r="F67" i="25" s="1"/>
  <c r="A68" i="25"/>
  <c r="F68" i="25" s="1"/>
  <c r="A69" i="25"/>
  <c r="F69" i="25" s="1"/>
  <c r="A70" i="25"/>
  <c r="F70" i="25" s="1"/>
  <c r="A57" i="25"/>
  <c r="F57" i="25" s="1"/>
  <c r="A58" i="25"/>
  <c r="F58" i="25" s="1"/>
  <c r="A59" i="25"/>
  <c r="F59" i="25" s="1"/>
  <c r="A60" i="25"/>
  <c r="F60" i="25" s="1"/>
  <c r="A61" i="25"/>
  <c r="F61" i="25" s="1"/>
  <c r="A62" i="25"/>
  <c r="F62" i="25" s="1"/>
  <c r="A21" i="25"/>
  <c r="A22" i="25"/>
  <c r="A23" i="25"/>
  <c r="A25" i="25"/>
  <c r="A31" i="25"/>
  <c r="A33" i="25"/>
  <c r="F33" i="25" s="1"/>
  <c r="A34" i="25"/>
  <c r="A35" i="25"/>
  <c r="F35" i="25" s="1"/>
  <c r="A36" i="25"/>
  <c r="F36" i="25" s="1"/>
  <c r="A37" i="25"/>
  <c r="F37" i="25" s="1"/>
  <c r="A38" i="25"/>
  <c r="F38" i="25" s="1"/>
  <c r="A39" i="25"/>
  <c r="F39" i="25" s="1"/>
  <c r="A40" i="25"/>
  <c r="F40" i="25" s="1"/>
  <c r="A41" i="25"/>
  <c r="F41" i="25" s="1"/>
  <c r="A42" i="25"/>
  <c r="F42" i="25" s="1"/>
  <c r="A43" i="25"/>
  <c r="F43" i="25" s="1"/>
  <c r="A44" i="25"/>
  <c r="F44" i="25" s="1"/>
  <c r="A45" i="25"/>
  <c r="F45" i="25" s="1"/>
  <c r="A46" i="25"/>
  <c r="F46" i="25" s="1"/>
  <c r="A47" i="25"/>
  <c r="F47" i="25" s="1"/>
  <c r="A48" i="25"/>
  <c r="F48" i="25" s="1"/>
  <c r="A49" i="25"/>
  <c r="A50" i="25"/>
  <c r="F50" i="25" s="1"/>
  <c r="A51" i="25"/>
  <c r="F51" i="25" s="1"/>
  <c r="A52" i="25"/>
  <c r="F52" i="25" s="1"/>
  <c r="A53" i="25"/>
  <c r="A54" i="25"/>
  <c r="F54" i="25" s="1"/>
  <c r="A55" i="25"/>
  <c r="F55" i="25" s="1"/>
  <c r="A56" i="25"/>
  <c r="F56" i="25" s="1"/>
  <c r="A17" i="25"/>
  <c r="A18" i="25"/>
  <c r="A19" i="25"/>
  <c r="A20" i="25"/>
  <c r="V5" i="25"/>
  <c r="U5" i="25"/>
  <c r="T5" i="25"/>
  <c r="H5" i="25"/>
  <c r="W3" i="25"/>
  <c r="K6" i="25"/>
  <c r="D9" i="1"/>
  <c r="J28" i="36" l="1"/>
  <c r="G28" i="36"/>
  <c r="F34" i="25"/>
  <c r="G30" i="36"/>
  <c r="F32" i="25"/>
  <c r="A25" i="46"/>
  <c r="C25" i="46" s="1"/>
  <c r="B102" i="44"/>
  <c r="A114" i="48"/>
  <c r="A104" i="46"/>
  <c r="B105" i="49"/>
  <c r="B70" i="44"/>
  <c r="A82" i="48"/>
  <c r="A72" i="46"/>
  <c r="B73" i="49"/>
  <c r="B100" i="44"/>
  <c r="B103" i="49"/>
  <c r="A112" i="48"/>
  <c r="A102" i="46"/>
  <c r="B84" i="44"/>
  <c r="B87" i="49"/>
  <c r="A96" i="48"/>
  <c r="A86" i="46"/>
  <c r="B68" i="44"/>
  <c r="B71" i="49"/>
  <c r="A80" i="48"/>
  <c r="A70" i="46"/>
  <c r="B99" i="44"/>
  <c r="A101" i="46"/>
  <c r="B102" i="49"/>
  <c r="A111" i="48"/>
  <c r="B83" i="44"/>
  <c r="A85" i="46"/>
  <c r="A95" i="48"/>
  <c r="B86" i="49"/>
  <c r="B67" i="44"/>
  <c r="B70" i="49"/>
  <c r="A69" i="46"/>
  <c r="A79" i="48"/>
  <c r="B98" i="44"/>
  <c r="A110" i="48"/>
  <c r="A100" i="46"/>
  <c r="B101" i="49"/>
  <c r="B82" i="44"/>
  <c r="B85" i="49"/>
  <c r="A94" i="48"/>
  <c r="A84" i="46"/>
  <c r="B66" i="44"/>
  <c r="A78" i="48"/>
  <c r="B69" i="49"/>
  <c r="A68" i="46"/>
  <c r="B97" i="44"/>
  <c r="A99" i="46"/>
  <c r="A109" i="48"/>
  <c r="B100" i="49"/>
  <c r="B81" i="44"/>
  <c r="A83" i="46"/>
  <c r="A93" i="48"/>
  <c r="B84" i="49"/>
  <c r="B65" i="44"/>
  <c r="A77" i="48"/>
  <c r="A67" i="46"/>
  <c r="B68" i="49"/>
  <c r="B86" i="44"/>
  <c r="A98" i="48"/>
  <c r="A88" i="46"/>
  <c r="B89" i="49"/>
  <c r="B101" i="44"/>
  <c r="A103" i="46"/>
  <c r="A113" i="48"/>
  <c r="B104" i="49"/>
  <c r="B96" i="44"/>
  <c r="B99" i="49"/>
  <c r="A108" i="48"/>
  <c r="A98" i="46"/>
  <c r="J82" i="36"/>
  <c r="B80" i="44"/>
  <c r="B83" i="49"/>
  <c r="A92" i="48"/>
  <c r="A82" i="46"/>
  <c r="B95" i="44"/>
  <c r="B98" i="49"/>
  <c r="A97" i="46"/>
  <c r="A107" i="48"/>
  <c r="B79" i="44"/>
  <c r="A81" i="46"/>
  <c r="B82" i="49"/>
  <c r="A91" i="48"/>
  <c r="B110" i="44"/>
  <c r="A112" i="46"/>
  <c r="A122" i="48"/>
  <c r="B113" i="49"/>
  <c r="B94" i="44"/>
  <c r="A96" i="46"/>
  <c r="B97" i="49"/>
  <c r="A106" i="48"/>
  <c r="B78" i="44"/>
  <c r="A80" i="46"/>
  <c r="B81" i="49"/>
  <c r="A90" i="48"/>
  <c r="J6" i="31"/>
  <c r="F27" i="1" s="1"/>
  <c r="J110" i="36"/>
  <c r="B108" i="44"/>
  <c r="A120" i="48"/>
  <c r="B111" i="49"/>
  <c r="A110" i="46"/>
  <c r="B92" i="44"/>
  <c r="B95" i="49"/>
  <c r="A104" i="48"/>
  <c r="A94" i="46"/>
  <c r="B76" i="44"/>
  <c r="B79" i="49"/>
  <c r="A88" i="48"/>
  <c r="A78" i="46"/>
  <c r="J109" i="36"/>
  <c r="B107" i="44"/>
  <c r="A119" i="48"/>
  <c r="A109" i="46"/>
  <c r="B110" i="49"/>
  <c r="J93" i="36"/>
  <c r="B91" i="44"/>
  <c r="A103" i="48"/>
  <c r="A93" i="46"/>
  <c r="B94" i="49"/>
  <c r="B75" i="44"/>
  <c r="A77" i="46"/>
  <c r="A87" i="48"/>
  <c r="B78" i="49"/>
  <c r="B109" i="44"/>
  <c r="A111" i="46"/>
  <c r="A121" i="48"/>
  <c r="B112" i="49"/>
  <c r="B106" i="44"/>
  <c r="A118" i="48"/>
  <c r="A108" i="46"/>
  <c r="B109" i="49"/>
  <c r="B105" i="44"/>
  <c r="A107" i="46"/>
  <c r="B108" i="49"/>
  <c r="A117" i="48"/>
  <c r="B89" i="44"/>
  <c r="A91" i="46"/>
  <c r="A101" i="48"/>
  <c r="B92" i="49"/>
  <c r="B73" i="44"/>
  <c r="A85" i="48"/>
  <c r="A75" i="46"/>
  <c r="B76" i="49"/>
  <c r="D71" i="36"/>
  <c r="B69" i="44"/>
  <c r="A71" i="46"/>
  <c r="A81" i="48"/>
  <c r="B72" i="49"/>
  <c r="B93" i="44"/>
  <c r="A95" i="46"/>
  <c r="B96" i="49"/>
  <c r="A105" i="48"/>
  <c r="B90" i="44"/>
  <c r="A102" i="48"/>
  <c r="A92" i="46"/>
  <c r="B93" i="49"/>
  <c r="B104" i="44"/>
  <c r="A106" i="46"/>
  <c r="B107" i="49"/>
  <c r="A116" i="48"/>
  <c r="B88" i="44"/>
  <c r="A90" i="46"/>
  <c r="B91" i="49"/>
  <c r="A100" i="48"/>
  <c r="B72" i="44"/>
  <c r="A84" i="48"/>
  <c r="A74" i="46"/>
  <c r="B75" i="49"/>
  <c r="B85" i="44"/>
  <c r="A87" i="46"/>
  <c r="B88" i="49"/>
  <c r="A97" i="48"/>
  <c r="B77" i="44"/>
  <c r="A79" i="46"/>
  <c r="B80" i="49"/>
  <c r="A89" i="48"/>
  <c r="B74" i="44"/>
  <c r="A86" i="48"/>
  <c r="A76" i="46"/>
  <c r="B77" i="49"/>
  <c r="B103" i="44"/>
  <c r="A105" i="46"/>
  <c r="B106" i="49"/>
  <c r="A115" i="48"/>
  <c r="B87" i="44"/>
  <c r="A99" i="48"/>
  <c r="A89" i="46"/>
  <c r="B90" i="49"/>
  <c r="B71" i="44"/>
  <c r="A73" i="46"/>
  <c r="B74" i="49"/>
  <c r="A83" i="48"/>
  <c r="B11" i="44"/>
  <c r="L5" i="30"/>
  <c r="F31" i="3"/>
  <c r="O23" i="24" s="1"/>
  <c r="T23" i="24" s="1"/>
  <c r="F28" i="36"/>
  <c r="B6" i="48"/>
  <c r="B5" i="48"/>
  <c r="B8" i="48"/>
  <c r="D3" i="27"/>
  <c r="U2" i="27"/>
  <c r="L3" i="27" s="1"/>
  <c r="J25" i="36"/>
  <c r="G25" i="36"/>
  <c r="B36" i="44"/>
  <c r="B39" i="49"/>
  <c r="A48" i="48"/>
  <c r="A38" i="46"/>
  <c r="B50" i="44"/>
  <c r="B53" i="49"/>
  <c r="A62" i="48"/>
  <c r="A52" i="46"/>
  <c r="B59" i="44"/>
  <c r="B62" i="49"/>
  <c r="A71" i="48"/>
  <c r="A61" i="46"/>
  <c r="B53" i="44"/>
  <c r="B56" i="49"/>
  <c r="A65" i="48"/>
  <c r="A55" i="46"/>
  <c r="B47" i="44"/>
  <c r="B50" i="49"/>
  <c r="A59" i="48"/>
  <c r="A49" i="46"/>
  <c r="B41" i="44"/>
  <c r="B44" i="49"/>
  <c r="A53" i="48"/>
  <c r="A43" i="46"/>
  <c r="B35" i="44"/>
  <c r="B38" i="49"/>
  <c r="A47" i="48"/>
  <c r="A37" i="46"/>
  <c r="F14" i="36"/>
  <c r="B12" i="44"/>
  <c r="D64" i="36"/>
  <c r="B62" i="44"/>
  <c r="A74" i="48"/>
  <c r="B65" i="49"/>
  <c r="A64" i="46"/>
  <c r="B56" i="44"/>
  <c r="B59" i="49"/>
  <c r="A68" i="48"/>
  <c r="A58" i="46"/>
  <c r="B44" i="44"/>
  <c r="B47" i="49"/>
  <c r="A56" i="48"/>
  <c r="A46" i="46"/>
  <c r="B38" i="44"/>
  <c r="B41" i="49"/>
  <c r="A50" i="48"/>
  <c r="A40" i="46"/>
  <c r="B32" i="44"/>
  <c r="B35" i="49"/>
  <c r="A44" i="48"/>
  <c r="A34" i="46"/>
  <c r="B42" i="44"/>
  <c r="B45" i="49"/>
  <c r="A54" i="48"/>
  <c r="A44" i="46"/>
  <c r="D66" i="36"/>
  <c r="B64" i="44"/>
  <c r="A76" i="48"/>
  <c r="A66" i="46"/>
  <c r="B67" i="49"/>
  <c r="B52" i="44"/>
  <c r="B55" i="49"/>
  <c r="A64" i="48"/>
  <c r="A54" i="46"/>
  <c r="B46" i="44"/>
  <c r="B49" i="49"/>
  <c r="A58" i="48"/>
  <c r="A48" i="46"/>
  <c r="B40" i="44"/>
  <c r="B43" i="49"/>
  <c r="A52" i="48"/>
  <c r="A42" i="46"/>
  <c r="B60" i="44"/>
  <c r="B63" i="49"/>
  <c r="A72" i="48"/>
  <c r="A62" i="46"/>
  <c r="B54" i="44"/>
  <c r="B57" i="49"/>
  <c r="A66" i="48"/>
  <c r="A56" i="46"/>
  <c r="B48" i="44"/>
  <c r="B51" i="49"/>
  <c r="A60" i="48"/>
  <c r="A50" i="46"/>
  <c r="B58" i="44"/>
  <c r="B61" i="49"/>
  <c r="A70" i="48"/>
  <c r="A60" i="46"/>
  <c r="B34" i="44"/>
  <c r="B37" i="49"/>
  <c r="A46" i="48"/>
  <c r="A36" i="46"/>
  <c r="D65" i="36"/>
  <c r="B63" i="44"/>
  <c r="B66" i="49"/>
  <c r="A75" i="48"/>
  <c r="A65" i="46"/>
  <c r="B57" i="44"/>
  <c r="B60" i="49"/>
  <c r="A69" i="48"/>
  <c r="A59" i="46"/>
  <c r="B51" i="44"/>
  <c r="B54" i="49"/>
  <c r="A63" i="48"/>
  <c r="A53" i="46"/>
  <c r="D47" i="36"/>
  <c r="B45" i="44"/>
  <c r="B48" i="49"/>
  <c r="A57" i="48"/>
  <c r="A47" i="46"/>
  <c r="B39" i="44"/>
  <c r="B42" i="49"/>
  <c r="A51" i="48"/>
  <c r="A41" i="46"/>
  <c r="D35" i="36"/>
  <c r="B33" i="44"/>
  <c r="B36" i="49"/>
  <c r="A45" i="48"/>
  <c r="A35" i="46"/>
  <c r="G24" i="36"/>
  <c r="B22" i="44"/>
  <c r="D63" i="36"/>
  <c r="B61" i="44"/>
  <c r="B64" i="49"/>
  <c r="A73" i="48"/>
  <c r="A63" i="46"/>
  <c r="B55" i="44"/>
  <c r="B58" i="49"/>
  <c r="A67" i="48"/>
  <c r="A57" i="46"/>
  <c r="B49" i="44"/>
  <c r="B52" i="49"/>
  <c r="A61" i="48"/>
  <c r="A51" i="46"/>
  <c r="D45" i="36"/>
  <c r="B43" i="44"/>
  <c r="B46" i="49"/>
  <c r="A55" i="48"/>
  <c r="A45" i="46"/>
  <c r="D39" i="36"/>
  <c r="B37" i="44"/>
  <c r="B40" i="49"/>
  <c r="A49" i="48"/>
  <c r="A39" i="46"/>
  <c r="D33" i="36"/>
  <c r="B31" i="44"/>
  <c r="B34" i="49"/>
  <c r="A43" i="48"/>
  <c r="A33" i="46"/>
  <c r="G27" i="36"/>
  <c r="B25" i="44"/>
  <c r="A14" i="46"/>
  <c r="F25" i="36"/>
  <c r="G14" i="36"/>
  <c r="A28" i="48"/>
  <c r="A31" i="48"/>
  <c r="A24" i="48"/>
  <c r="A32" i="48"/>
  <c r="A30" i="48"/>
  <c r="A40" i="48"/>
  <c r="B31" i="49"/>
  <c r="A30" i="46"/>
  <c r="A25" i="48"/>
  <c r="A29" i="48"/>
  <c r="D29" i="36"/>
  <c r="B30" i="49"/>
  <c r="A29" i="46"/>
  <c r="A39" i="48"/>
  <c r="A34" i="48"/>
  <c r="J32" i="36"/>
  <c r="A42" i="48"/>
  <c r="B33" i="49"/>
  <c r="A32" i="46"/>
  <c r="D28" i="36"/>
  <c r="A28" i="46"/>
  <c r="A38" i="48"/>
  <c r="B29" i="49"/>
  <c r="A27" i="48"/>
  <c r="B32" i="49"/>
  <c r="A31" i="46"/>
  <c r="A41" i="48"/>
  <c r="A26" i="48"/>
  <c r="B28" i="49"/>
  <c r="A37" i="48"/>
  <c r="A27" i="46"/>
  <c r="A33" i="48"/>
  <c r="F29" i="25"/>
  <c r="F28" i="25"/>
  <c r="N25" i="36"/>
  <c r="A26" i="46"/>
  <c r="A36" i="48"/>
  <c r="B27" i="49"/>
  <c r="D106" i="41"/>
  <c r="D34" i="41"/>
  <c r="D101" i="41"/>
  <c r="A35" i="48"/>
  <c r="C102" i="36"/>
  <c r="H102" i="36" s="1"/>
  <c r="D102" i="36"/>
  <c r="C84" i="36"/>
  <c r="H84" i="36" s="1"/>
  <c r="D84" i="36"/>
  <c r="C108" i="36"/>
  <c r="H108" i="36" s="1"/>
  <c r="D108" i="36"/>
  <c r="C96" i="36"/>
  <c r="H96" i="36" s="1"/>
  <c r="D96" i="36"/>
  <c r="C90" i="36"/>
  <c r="H90" i="36" s="1"/>
  <c r="D90" i="36"/>
  <c r="N107" i="36"/>
  <c r="E107" i="46" s="1"/>
  <c r="D107" i="36"/>
  <c r="N101" i="36"/>
  <c r="E101" i="46" s="1"/>
  <c r="D101" i="36"/>
  <c r="N95" i="36"/>
  <c r="E95" i="46" s="1"/>
  <c r="D95" i="36"/>
  <c r="N89" i="36"/>
  <c r="E89" i="46" s="1"/>
  <c r="D89" i="36"/>
  <c r="J83" i="36"/>
  <c r="D83" i="36"/>
  <c r="N112" i="36"/>
  <c r="E112" i="46" s="1"/>
  <c r="D112" i="36"/>
  <c r="N100" i="36"/>
  <c r="E100" i="46" s="1"/>
  <c r="D100" i="36"/>
  <c r="N94" i="36"/>
  <c r="E94" i="46" s="1"/>
  <c r="D94" i="36"/>
  <c r="E82" i="36"/>
  <c r="D82" i="36"/>
  <c r="N106" i="36"/>
  <c r="E106" i="46" s="1"/>
  <c r="D106" i="36"/>
  <c r="N88" i="36"/>
  <c r="E88" i="46" s="1"/>
  <c r="D88" i="36"/>
  <c r="F111" i="36"/>
  <c r="D111" i="36"/>
  <c r="F105" i="36"/>
  <c r="D105" i="36"/>
  <c r="F99" i="36"/>
  <c r="D99" i="36"/>
  <c r="F93" i="36"/>
  <c r="D93" i="36"/>
  <c r="F87" i="36"/>
  <c r="D87" i="36"/>
  <c r="F81" i="36"/>
  <c r="D81" i="36"/>
  <c r="F110" i="36"/>
  <c r="D110" i="36"/>
  <c r="F104" i="36"/>
  <c r="D104" i="36"/>
  <c r="F98" i="36"/>
  <c r="D98" i="36"/>
  <c r="F92" i="36"/>
  <c r="D92" i="36"/>
  <c r="C86" i="36"/>
  <c r="H86" i="36" s="1"/>
  <c r="D86" i="36"/>
  <c r="C80" i="36"/>
  <c r="H80" i="36" s="1"/>
  <c r="D80" i="36"/>
  <c r="F109" i="36"/>
  <c r="D109" i="36"/>
  <c r="F103" i="36"/>
  <c r="D103" i="36"/>
  <c r="F97" i="36"/>
  <c r="D97" i="36"/>
  <c r="F91" i="36"/>
  <c r="D91" i="36"/>
  <c r="N85" i="36"/>
  <c r="E85" i="46" s="1"/>
  <c r="D85" i="36"/>
  <c r="G13" i="36"/>
  <c r="B17" i="25"/>
  <c r="F13" i="36"/>
  <c r="A13" i="46"/>
  <c r="B16" i="25"/>
  <c r="J26" i="36"/>
  <c r="E70" i="36"/>
  <c r="D70" i="36"/>
  <c r="D60" i="36"/>
  <c r="D54" i="36"/>
  <c r="D48" i="36"/>
  <c r="D42" i="36"/>
  <c r="D44" i="36"/>
  <c r="C78" i="36"/>
  <c r="H78" i="36" s="1"/>
  <c r="D78" i="36"/>
  <c r="C72" i="36"/>
  <c r="H72" i="36" s="1"/>
  <c r="D72" i="36"/>
  <c r="F77" i="36"/>
  <c r="D77" i="36"/>
  <c r="D59" i="36"/>
  <c r="D53" i="36"/>
  <c r="D41" i="36"/>
  <c r="E76" i="36"/>
  <c r="D76" i="36"/>
  <c r="D58" i="36"/>
  <c r="J70" i="36"/>
  <c r="F75" i="36"/>
  <c r="D75" i="36"/>
  <c r="F69" i="36"/>
  <c r="D69" i="36"/>
  <c r="D57" i="36"/>
  <c r="D51" i="36"/>
  <c r="D52" i="36"/>
  <c r="D46" i="36"/>
  <c r="D40" i="36"/>
  <c r="C74" i="36"/>
  <c r="H74" i="36" s="1"/>
  <c r="D74" i="36"/>
  <c r="F68" i="36"/>
  <c r="D68" i="36"/>
  <c r="D62" i="36"/>
  <c r="D56" i="36"/>
  <c r="D50" i="36"/>
  <c r="D38" i="36"/>
  <c r="J42" i="36"/>
  <c r="N79" i="36"/>
  <c r="E79" i="46" s="1"/>
  <c r="D79" i="36"/>
  <c r="N73" i="36"/>
  <c r="E73" i="46" s="1"/>
  <c r="D73" i="36"/>
  <c r="N67" i="36"/>
  <c r="E67" i="46" s="1"/>
  <c r="D67" i="36"/>
  <c r="D61" i="36"/>
  <c r="D55" i="36"/>
  <c r="D49" i="36"/>
  <c r="D43" i="36"/>
  <c r="D37" i="36"/>
  <c r="D34" i="36"/>
  <c r="D32" i="36"/>
  <c r="D30" i="36"/>
  <c r="D31" i="36"/>
  <c r="G26" i="36"/>
  <c r="D36" i="36"/>
  <c r="D26" i="36"/>
  <c r="D25" i="36"/>
  <c r="G16" i="36"/>
  <c r="D27" i="36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B113" i="25"/>
  <c r="B119" i="25"/>
  <c r="B125" i="25"/>
  <c r="B131" i="25"/>
  <c r="B137" i="25"/>
  <c r="B143" i="25"/>
  <c r="B149" i="25"/>
  <c r="B155" i="25"/>
  <c r="B161" i="25"/>
  <c r="B167" i="25"/>
  <c r="B173" i="25"/>
  <c r="B179" i="25"/>
  <c r="B185" i="25"/>
  <c r="B191" i="25"/>
  <c r="B197" i="25"/>
  <c r="B203" i="25"/>
  <c r="B209" i="25"/>
  <c r="B215" i="25"/>
  <c r="B221" i="25"/>
  <c r="B227" i="25"/>
  <c r="B233" i="25"/>
  <c r="B239" i="25"/>
  <c r="B245" i="25"/>
  <c r="B251" i="25"/>
  <c r="B257" i="25"/>
  <c r="B263" i="25"/>
  <c r="B269" i="25"/>
  <c r="B275" i="25"/>
  <c r="B281" i="25"/>
  <c r="B287" i="25"/>
  <c r="B293" i="25"/>
  <c r="B299" i="25"/>
  <c r="B305" i="25"/>
  <c r="B311" i="25"/>
  <c r="B317" i="25"/>
  <c r="B323" i="25"/>
  <c r="B329" i="25"/>
  <c r="B335" i="25"/>
  <c r="B341" i="25"/>
  <c r="B347" i="25"/>
  <c r="B353" i="25"/>
  <c r="B21" i="25"/>
  <c r="B111" i="25"/>
  <c r="B153" i="25"/>
  <c r="B189" i="25"/>
  <c r="B219" i="25"/>
  <c r="B255" i="25"/>
  <c r="B285" i="25"/>
  <c r="B321" i="25"/>
  <c r="B351" i="25"/>
  <c r="B18" i="25"/>
  <c r="B24" i="25"/>
  <c r="B30" i="25"/>
  <c r="B36" i="25"/>
  <c r="B42" i="25"/>
  <c r="B48" i="25"/>
  <c r="B54" i="25"/>
  <c r="B60" i="25"/>
  <c r="B66" i="25"/>
  <c r="B72" i="25"/>
  <c r="B78" i="25"/>
  <c r="B84" i="25"/>
  <c r="B90" i="25"/>
  <c r="B96" i="25"/>
  <c r="B102" i="25"/>
  <c r="B108" i="25"/>
  <c r="B114" i="25"/>
  <c r="B120" i="25"/>
  <c r="B126" i="25"/>
  <c r="B132" i="25"/>
  <c r="B138" i="25"/>
  <c r="B144" i="25"/>
  <c r="B150" i="25"/>
  <c r="B156" i="25"/>
  <c r="B162" i="25"/>
  <c r="B168" i="25"/>
  <c r="B174" i="25"/>
  <c r="B180" i="25"/>
  <c r="B186" i="25"/>
  <c r="B192" i="25"/>
  <c r="B198" i="25"/>
  <c r="B204" i="25"/>
  <c r="B210" i="25"/>
  <c r="B216" i="25"/>
  <c r="B222" i="25"/>
  <c r="B228" i="25"/>
  <c r="B234" i="25"/>
  <c r="B240" i="25"/>
  <c r="B246" i="25"/>
  <c r="B252" i="25"/>
  <c r="B258" i="25"/>
  <c r="B264" i="25"/>
  <c r="B270" i="25"/>
  <c r="B276" i="25"/>
  <c r="B282" i="25"/>
  <c r="B288" i="25"/>
  <c r="B294" i="25"/>
  <c r="B300" i="25"/>
  <c r="B306" i="25"/>
  <c r="B312" i="25"/>
  <c r="B318" i="25"/>
  <c r="B324" i="25"/>
  <c r="B330" i="25"/>
  <c r="B336" i="25"/>
  <c r="B342" i="25"/>
  <c r="B348" i="25"/>
  <c r="B354" i="25"/>
  <c r="B33" i="25"/>
  <c r="B57" i="25"/>
  <c r="B75" i="25"/>
  <c r="B93" i="25"/>
  <c r="B129" i="25"/>
  <c r="B147" i="25"/>
  <c r="B177" i="25"/>
  <c r="B201" i="25"/>
  <c r="B231" i="25"/>
  <c r="B261" i="25"/>
  <c r="B297" i="25"/>
  <c r="B327" i="25"/>
  <c r="B19" i="25"/>
  <c r="B25" i="25"/>
  <c r="B31" i="25"/>
  <c r="B37" i="25"/>
  <c r="B43" i="25"/>
  <c r="B49" i="25"/>
  <c r="B55" i="25"/>
  <c r="B61" i="25"/>
  <c r="B67" i="25"/>
  <c r="B73" i="25"/>
  <c r="B79" i="25"/>
  <c r="B85" i="25"/>
  <c r="B91" i="25"/>
  <c r="B97" i="25"/>
  <c r="B103" i="25"/>
  <c r="B109" i="25"/>
  <c r="B115" i="25"/>
  <c r="B121" i="25"/>
  <c r="B127" i="25"/>
  <c r="B133" i="25"/>
  <c r="B139" i="25"/>
  <c r="B145" i="25"/>
  <c r="B151" i="25"/>
  <c r="B157" i="25"/>
  <c r="B163" i="25"/>
  <c r="B169" i="25"/>
  <c r="B175" i="25"/>
  <c r="B181" i="25"/>
  <c r="B187" i="25"/>
  <c r="B193" i="25"/>
  <c r="B199" i="25"/>
  <c r="B205" i="25"/>
  <c r="B211" i="25"/>
  <c r="B217" i="25"/>
  <c r="B223" i="25"/>
  <c r="B229" i="25"/>
  <c r="B235" i="25"/>
  <c r="B241" i="25"/>
  <c r="B247" i="25"/>
  <c r="B253" i="25"/>
  <c r="B259" i="25"/>
  <c r="B265" i="25"/>
  <c r="B271" i="25"/>
  <c r="B277" i="25"/>
  <c r="B283" i="25"/>
  <c r="B289" i="25"/>
  <c r="B295" i="25"/>
  <c r="B301" i="25"/>
  <c r="B307" i="25"/>
  <c r="B313" i="25"/>
  <c r="B319" i="25"/>
  <c r="B325" i="25"/>
  <c r="B331" i="25"/>
  <c r="B337" i="25"/>
  <c r="B343" i="25"/>
  <c r="B349" i="25"/>
  <c r="B355" i="25"/>
  <c r="B39" i="25"/>
  <c r="B63" i="25"/>
  <c r="B81" i="25"/>
  <c r="B99" i="25"/>
  <c r="B123" i="25"/>
  <c r="B159" i="25"/>
  <c r="B183" i="25"/>
  <c r="B213" i="25"/>
  <c r="B243" i="25"/>
  <c r="B273" i="25"/>
  <c r="B291" i="25"/>
  <c r="B315" i="25"/>
  <c r="B345" i="25"/>
  <c r="B20" i="25"/>
  <c r="B26" i="25"/>
  <c r="B32" i="25"/>
  <c r="B38" i="25"/>
  <c r="B44" i="25"/>
  <c r="B50" i="25"/>
  <c r="B56" i="25"/>
  <c r="B62" i="25"/>
  <c r="B68" i="25"/>
  <c r="B74" i="25"/>
  <c r="B80" i="25"/>
  <c r="B86" i="25"/>
  <c r="B92" i="25"/>
  <c r="B98" i="25"/>
  <c r="B104" i="25"/>
  <c r="B110" i="25"/>
  <c r="B116" i="25"/>
  <c r="B122" i="25"/>
  <c r="B128" i="25"/>
  <c r="B134" i="25"/>
  <c r="B140" i="25"/>
  <c r="B146" i="25"/>
  <c r="B152" i="25"/>
  <c r="B158" i="25"/>
  <c r="B164" i="25"/>
  <c r="B170" i="25"/>
  <c r="B176" i="25"/>
  <c r="B182" i="25"/>
  <c r="B188" i="25"/>
  <c r="B194" i="25"/>
  <c r="B200" i="25"/>
  <c r="B206" i="25"/>
  <c r="B212" i="25"/>
  <c r="B218" i="25"/>
  <c r="B224" i="25"/>
  <c r="B230" i="25"/>
  <c r="B236" i="25"/>
  <c r="B242" i="25"/>
  <c r="B248" i="25"/>
  <c r="B254" i="25"/>
  <c r="B260" i="25"/>
  <c r="B266" i="25"/>
  <c r="B272" i="25"/>
  <c r="B278" i="25"/>
  <c r="B284" i="25"/>
  <c r="B290" i="25"/>
  <c r="B296" i="25"/>
  <c r="B302" i="25"/>
  <c r="B308" i="25"/>
  <c r="B314" i="25"/>
  <c r="B320" i="25"/>
  <c r="B326" i="25"/>
  <c r="B332" i="25"/>
  <c r="B338" i="25"/>
  <c r="B344" i="25"/>
  <c r="B350" i="25"/>
  <c r="B356" i="25"/>
  <c r="B45" i="25"/>
  <c r="B51" i="25"/>
  <c r="B69" i="25"/>
  <c r="B87" i="25"/>
  <c r="B117" i="25"/>
  <c r="B141" i="25"/>
  <c r="B171" i="25"/>
  <c r="B195" i="25"/>
  <c r="B225" i="25"/>
  <c r="B249" i="25"/>
  <c r="B279" i="25"/>
  <c r="B309" i="25"/>
  <c r="B339" i="25"/>
  <c r="B22" i="25"/>
  <c r="B28" i="25"/>
  <c r="B34" i="25"/>
  <c r="B40" i="25"/>
  <c r="B46" i="25"/>
  <c r="B52" i="25"/>
  <c r="B58" i="25"/>
  <c r="B64" i="25"/>
  <c r="B70" i="25"/>
  <c r="B76" i="25"/>
  <c r="B82" i="25"/>
  <c r="B88" i="25"/>
  <c r="B94" i="25"/>
  <c r="B100" i="25"/>
  <c r="B106" i="25"/>
  <c r="B112" i="25"/>
  <c r="B118" i="25"/>
  <c r="B124" i="25"/>
  <c r="B130" i="25"/>
  <c r="B136" i="25"/>
  <c r="B142" i="25"/>
  <c r="B148" i="25"/>
  <c r="B154" i="25"/>
  <c r="B160" i="25"/>
  <c r="B166" i="25"/>
  <c r="B172" i="25"/>
  <c r="B178" i="25"/>
  <c r="B184" i="25"/>
  <c r="B190" i="25"/>
  <c r="B196" i="25"/>
  <c r="B202" i="25"/>
  <c r="B208" i="25"/>
  <c r="B214" i="25"/>
  <c r="B220" i="25"/>
  <c r="B226" i="25"/>
  <c r="B232" i="25"/>
  <c r="B238" i="25"/>
  <c r="B244" i="25"/>
  <c r="B250" i="25"/>
  <c r="B256" i="25"/>
  <c r="B262" i="25"/>
  <c r="B268" i="25"/>
  <c r="B274" i="25"/>
  <c r="B280" i="25"/>
  <c r="B286" i="25"/>
  <c r="B292" i="25"/>
  <c r="B298" i="25"/>
  <c r="B304" i="25"/>
  <c r="B310" i="25"/>
  <c r="B316" i="25"/>
  <c r="B322" i="25"/>
  <c r="B328" i="25"/>
  <c r="B334" i="25"/>
  <c r="B340" i="25"/>
  <c r="B346" i="25"/>
  <c r="B352" i="25"/>
  <c r="B27" i="25"/>
  <c r="B105" i="25"/>
  <c r="B135" i="25"/>
  <c r="B165" i="25"/>
  <c r="B207" i="25"/>
  <c r="B237" i="25"/>
  <c r="B267" i="25"/>
  <c r="B303" i="25"/>
  <c r="B333" i="25"/>
  <c r="E7" i="27"/>
  <c r="E3" i="27"/>
  <c r="U6" i="27"/>
  <c r="D4" i="27"/>
  <c r="U5" i="27"/>
  <c r="D5" i="27"/>
  <c r="U4" i="27"/>
  <c r="D6" i="27"/>
  <c r="U3" i="27"/>
  <c r="D24" i="36"/>
  <c r="D18" i="36"/>
  <c r="D23" i="36"/>
  <c r="D17" i="36"/>
  <c r="D22" i="36"/>
  <c r="D16" i="36"/>
  <c r="D21" i="36"/>
  <c r="D15" i="36"/>
  <c r="D20" i="36"/>
  <c r="D14" i="36"/>
  <c r="C23" i="48"/>
  <c r="D13" i="36"/>
  <c r="D19" i="36"/>
  <c r="D74" i="41"/>
  <c r="D93" i="41"/>
  <c r="D60" i="41"/>
  <c r="D64" i="41"/>
  <c r="D77" i="41"/>
  <c r="D48" i="41"/>
  <c r="D72" i="41"/>
  <c r="D90" i="41"/>
  <c r="D78" i="41"/>
  <c r="D54" i="41"/>
  <c r="D108" i="41"/>
  <c r="D84" i="41"/>
  <c r="D65" i="41"/>
  <c r="D36" i="41"/>
  <c r="D88" i="41"/>
  <c r="D70" i="41"/>
  <c r="D40" i="41"/>
  <c r="D51" i="41"/>
  <c r="D63" i="41"/>
  <c r="D102" i="41"/>
  <c r="D82" i="41"/>
  <c r="D66" i="41"/>
  <c r="D52" i="41"/>
  <c r="D41" i="41"/>
  <c r="D111" i="41"/>
  <c r="D96" i="41"/>
  <c r="D81" i="41"/>
  <c r="D69" i="41"/>
  <c r="D58" i="41"/>
  <c r="D42" i="41"/>
  <c r="D99" i="41"/>
  <c r="D45" i="41"/>
  <c r="D33" i="41"/>
  <c r="D112" i="41"/>
  <c r="D100" i="41"/>
  <c r="D87" i="41"/>
  <c r="D75" i="41"/>
  <c r="J65" i="36"/>
  <c r="E64" i="36"/>
  <c r="J100" i="36"/>
  <c r="J112" i="36"/>
  <c r="F63" i="36"/>
  <c r="J45" i="36"/>
  <c r="J39" i="36"/>
  <c r="J33" i="36"/>
  <c r="F18" i="36"/>
  <c r="F16" i="36"/>
  <c r="J89" i="36"/>
  <c r="J95" i="36"/>
  <c r="J40" i="36"/>
  <c r="J52" i="36"/>
  <c r="J101" i="36"/>
  <c r="C66" i="36"/>
  <c r="H66" i="36" s="1"/>
  <c r="D92" i="41"/>
  <c r="D80" i="41"/>
  <c r="D38" i="41"/>
  <c r="D110" i="41"/>
  <c r="D56" i="41"/>
  <c r="D44" i="41"/>
  <c r="D113" i="41"/>
  <c r="D105" i="41"/>
  <c r="D94" i="41"/>
  <c r="D76" i="41"/>
  <c r="D57" i="41"/>
  <c r="D46" i="41"/>
  <c r="D39" i="41"/>
  <c r="E272" i="20"/>
  <c r="C181" i="45"/>
  <c r="D11" i="1"/>
  <c r="D13" i="1" s="1"/>
  <c r="E118" i="46"/>
  <c r="D116" i="44"/>
  <c r="E37" i="1"/>
  <c r="F17" i="1"/>
  <c r="F17" i="47"/>
  <c r="F18" i="47"/>
  <c r="F22" i="25"/>
  <c r="F15" i="36"/>
  <c r="D287" i="25"/>
  <c r="F26" i="36"/>
  <c r="F22" i="36"/>
  <c r="D76" i="25"/>
  <c r="G22" i="36"/>
  <c r="D55" i="25"/>
  <c r="D85" i="25"/>
  <c r="D119" i="25"/>
  <c r="J69" i="36"/>
  <c r="J111" i="36"/>
  <c r="N28" i="36"/>
  <c r="I58" i="24"/>
  <c r="D72" i="48" s="1"/>
  <c r="I52" i="24"/>
  <c r="D66" i="48" s="1"/>
  <c r="I46" i="24"/>
  <c r="D60" i="48" s="1"/>
  <c r="I40" i="24"/>
  <c r="D54" i="48" s="1"/>
  <c r="I34" i="24"/>
  <c r="D48" i="48" s="1"/>
  <c r="D109" i="41"/>
  <c r="C109" i="41"/>
  <c r="D103" i="41"/>
  <c r="C103" i="41"/>
  <c r="D97" i="41"/>
  <c r="C97" i="41"/>
  <c r="D91" i="41"/>
  <c r="C91" i="41"/>
  <c r="D85" i="41"/>
  <c r="C85" i="41"/>
  <c r="D79" i="41"/>
  <c r="C79" i="41"/>
  <c r="D73" i="41"/>
  <c r="C73" i="41"/>
  <c r="D67" i="41"/>
  <c r="C67" i="41"/>
  <c r="D61" i="41"/>
  <c r="C61" i="41"/>
  <c r="D55" i="41"/>
  <c r="C55" i="41"/>
  <c r="D49" i="41"/>
  <c r="C49" i="41"/>
  <c r="D43" i="41"/>
  <c r="C43" i="41"/>
  <c r="D37" i="41"/>
  <c r="C37" i="41"/>
  <c r="C31" i="41"/>
  <c r="C25" i="41"/>
  <c r="C19" i="41"/>
  <c r="N61" i="36"/>
  <c r="E61" i="46" s="1"/>
  <c r="N55" i="36"/>
  <c r="E55" i="46" s="1"/>
  <c r="N49" i="36"/>
  <c r="E49" i="46" s="1"/>
  <c r="A16" i="46"/>
  <c r="J75" i="36"/>
  <c r="J37" i="36"/>
  <c r="J31" i="36"/>
  <c r="J85" i="36"/>
  <c r="C60" i="36"/>
  <c r="H60" i="36" s="1"/>
  <c r="C54" i="36"/>
  <c r="H54" i="36" s="1"/>
  <c r="I57" i="24"/>
  <c r="D71" i="48" s="1"/>
  <c r="I51" i="24"/>
  <c r="D65" i="48" s="1"/>
  <c r="I45" i="24"/>
  <c r="D59" i="48" s="1"/>
  <c r="I39" i="24"/>
  <c r="D53" i="48" s="1"/>
  <c r="I33" i="24"/>
  <c r="D47" i="48" s="1"/>
  <c r="C24" i="41"/>
  <c r="C18" i="41"/>
  <c r="J43" i="36"/>
  <c r="F59" i="36"/>
  <c r="J53" i="36"/>
  <c r="F41" i="36"/>
  <c r="N26" i="36"/>
  <c r="I56" i="24"/>
  <c r="D70" i="48" s="1"/>
  <c r="I50" i="24"/>
  <c r="D64" i="48" s="1"/>
  <c r="I44" i="24"/>
  <c r="D58" i="48" s="1"/>
  <c r="I38" i="24"/>
  <c r="D52" i="48" s="1"/>
  <c r="I32" i="24"/>
  <c r="D46" i="48" s="1"/>
  <c r="D107" i="41"/>
  <c r="C107" i="41"/>
  <c r="D95" i="41"/>
  <c r="C95" i="41"/>
  <c r="D89" i="41"/>
  <c r="C89" i="41"/>
  <c r="D83" i="41"/>
  <c r="C83" i="41"/>
  <c r="D71" i="41"/>
  <c r="C71" i="41"/>
  <c r="D59" i="41"/>
  <c r="C59" i="41"/>
  <c r="D53" i="41"/>
  <c r="C53" i="41"/>
  <c r="D47" i="41"/>
  <c r="C47" i="41"/>
  <c r="D35" i="41"/>
  <c r="C35" i="41"/>
  <c r="C23" i="41"/>
  <c r="C17" i="41"/>
  <c r="J81" i="36"/>
  <c r="J49" i="36"/>
  <c r="D152" i="25"/>
  <c r="D302" i="25"/>
  <c r="J36" i="36"/>
  <c r="J87" i="36"/>
  <c r="J55" i="36"/>
  <c r="J67" i="36"/>
  <c r="E58" i="36"/>
  <c r="E52" i="36"/>
  <c r="I55" i="24"/>
  <c r="D69" i="48" s="1"/>
  <c r="I49" i="24"/>
  <c r="D63" i="48" s="1"/>
  <c r="I43" i="24"/>
  <c r="D57" i="48" s="1"/>
  <c r="I37" i="24"/>
  <c r="D51" i="48" s="1"/>
  <c r="I31" i="24"/>
  <c r="D45" i="48" s="1"/>
  <c r="C22" i="41"/>
  <c r="C16" i="41"/>
  <c r="F57" i="36"/>
  <c r="F51" i="36"/>
  <c r="N30" i="36"/>
  <c r="I54" i="24"/>
  <c r="D68" i="48" s="1"/>
  <c r="I48" i="24"/>
  <c r="D62" i="48" s="1"/>
  <c r="I42" i="24"/>
  <c r="D56" i="48" s="1"/>
  <c r="I36" i="24"/>
  <c r="D50" i="48" s="1"/>
  <c r="I30" i="24"/>
  <c r="D44" i="48" s="1"/>
  <c r="C21" i="41"/>
  <c r="C15" i="41"/>
  <c r="J91" i="36"/>
  <c r="J57" i="36"/>
  <c r="J105" i="36"/>
  <c r="J35" i="36"/>
  <c r="F62" i="36"/>
  <c r="C56" i="36"/>
  <c r="H56" i="36" s="1"/>
  <c r="C50" i="36"/>
  <c r="H50" i="36" s="1"/>
  <c r="C44" i="36"/>
  <c r="H44" i="36" s="1"/>
  <c r="C38" i="36"/>
  <c r="H38" i="36" s="1"/>
  <c r="I53" i="24"/>
  <c r="D67" i="48" s="1"/>
  <c r="I47" i="24"/>
  <c r="D61" i="48" s="1"/>
  <c r="I41" i="24"/>
  <c r="D55" i="48" s="1"/>
  <c r="I35" i="24"/>
  <c r="D49" i="48" s="1"/>
  <c r="I29" i="24"/>
  <c r="D43" i="48" s="1"/>
  <c r="D104" i="41"/>
  <c r="C104" i="41"/>
  <c r="D98" i="41"/>
  <c r="C98" i="41"/>
  <c r="D86" i="41"/>
  <c r="C86" i="41"/>
  <c r="D68" i="41"/>
  <c r="C68" i="41"/>
  <c r="D62" i="41"/>
  <c r="C62" i="41"/>
  <c r="D50" i="41"/>
  <c r="C50" i="41"/>
  <c r="C32" i="41"/>
  <c r="C26" i="41"/>
  <c r="C20" i="41"/>
  <c r="C14" i="41"/>
  <c r="F19" i="25"/>
  <c r="D208" i="25"/>
  <c r="J60" i="36"/>
  <c r="J106" i="36"/>
  <c r="J34" i="36"/>
  <c r="J76" i="36"/>
  <c r="J90" i="36"/>
  <c r="F216" i="25"/>
  <c r="J98" i="36"/>
  <c r="J46" i="36"/>
  <c r="J94" i="36"/>
  <c r="J84" i="36"/>
  <c r="J88" i="36"/>
  <c r="J54" i="36"/>
  <c r="J64" i="36"/>
  <c r="J103" i="36"/>
  <c r="U339" i="25"/>
  <c r="V339" i="25"/>
  <c r="T339" i="25"/>
  <c r="F339" i="25"/>
  <c r="T354" i="25"/>
  <c r="U354" i="25"/>
  <c r="V354" i="25"/>
  <c r="F354" i="25"/>
  <c r="T348" i="25"/>
  <c r="U348" i="25"/>
  <c r="V348" i="25"/>
  <c r="U252" i="25"/>
  <c r="V252" i="25"/>
  <c r="T252" i="25"/>
  <c r="F252" i="25"/>
  <c r="U335" i="25"/>
  <c r="T335" i="25"/>
  <c r="V335" i="25"/>
  <c r="F335" i="25"/>
  <c r="D69" i="25"/>
  <c r="U320" i="25"/>
  <c r="V320" i="25"/>
  <c r="T320" i="25"/>
  <c r="F320" i="25"/>
  <c r="T314" i="25"/>
  <c r="U314" i="25"/>
  <c r="V314" i="25"/>
  <c r="U309" i="25"/>
  <c r="T309" i="25"/>
  <c r="V309" i="25"/>
  <c r="T304" i="25"/>
  <c r="U304" i="25"/>
  <c r="V304" i="25"/>
  <c r="F304" i="25"/>
  <c r="T298" i="25"/>
  <c r="U298" i="25"/>
  <c r="V298" i="25"/>
  <c r="F298" i="25"/>
  <c r="T293" i="25"/>
  <c r="U293" i="25"/>
  <c r="V293" i="25"/>
  <c r="F293" i="25"/>
  <c r="U273" i="25"/>
  <c r="T273" i="25"/>
  <c r="V273" i="25"/>
  <c r="F273" i="25"/>
  <c r="F314" i="25"/>
  <c r="U325" i="25"/>
  <c r="T325" i="25"/>
  <c r="V325" i="25"/>
  <c r="F325" i="25"/>
  <c r="F309" i="25"/>
  <c r="T352" i="25"/>
  <c r="U352" i="25"/>
  <c r="V352" i="25"/>
  <c r="V346" i="25"/>
  <c r="T346" i="25"/>
  <c r="U346" i="25"/>
  <c r="T338" i="25"/>
  <c r="U338" i="25"/>
  <c r="V338" i="25"/>
  <c r="U333" i="25"/>
  <c r="T333" i="25"/>
  <c r="V333" i="25"/>
  <c r="T328" i="25"/>
  <c r="U328" i="25"/>
  <c r="V328" i="25"/>
  <c r="T312" i="25"/>
  <c r="U312" i="25"/>
  <c r="V312" i="25"/>
  <c r="T234" i="25"/>
  <c r="U234" i="25"/>
  <c r="V234" i="25"/>
  <c r="U229" i="25"/>
  <c r="T229" i="25"/>
  <c r="V229" i="25"/>
  <c r="U225" i="25"/>
  <c r="T225" i="25"/>
  <c r="V225" i="25"/>
  <c r="U219" i="25"/>
  <c r="T219" i="25"/>
  <c r="V219" i="25"/>
  <c r="U215" i="25"/>
  <c r="T215" i="25"/>
  <c r="V215" i="25"/>
  <c r="T186" i="25"/>
  <c r="U186" i="25"/>
  <c r="V186" i="25"/>
  <c r="U181" i="25"/>
  <c r="T181" i="25"/>
  <c r="V181" i="25"/>
  <c r="T176" i="25"/>
  <c r="U176" i="25"/>
  <c r="V176" i="25"/>
  <c r="T166" i="25"/>
  <c r="U166" i="25"/>
  <c r="V166" i="25"/>
  <c r="U161" i="25"/>
  <c r="T161" i="25"/>
  <c r="V161" i="25"/>
  <c r="U155" i="25"/>
  <c r="T155" i="25"/>
  <c r="V155" i="25"/>
  <c r="U144" i="25"/>
  <c r="V144" i="25"/>
  <c r="T144" i="25"/>
  <c r="U139" i="25"/>
  <c r="V139" i="25"/>
  <c r="T139" i="25"/>
  <c r="U135" i="25"/>
  <c r="T135" i="25"/>
  <c r="V135" i="25"/>
  <c r="T130" i="25"/>
  <c r="U130" i="25"/>
  <c r="V130" i="25"/>
  <c r="T120" i="25"/>
  <c r="U120" i="25"/>
  <c r="V120" i="25"/>
  <c r="T116" i="25"/>
  <c r="U116" i="25"/>
  <c r="V116" i="25"/>
  <c r="F215" i="25"/>
  <c r="F120" i="25"/>
  <c r="U356" i="25"/>
  <c r="V356" i="25"/>
  <c r="T356" i="25"/>
  <c r="U351" i="25"/>
  <c r="V351" i="25"/>
  <c r="T351" i="25"/>
  <c r="U341" i="25"/>
  <c r="T341" i="25"/>
  <c r="V341" i="25"/>
  <c r="U332" i="25"/>
  <c r="V332" i="25"/>
  <c r="T332" i="25"/>
  <c r="U327" i="25"/>
  <c r="V327" i="25"/>
  <c r="T327" i="25"/>
  <c r="V322" i="25"/>
  <c r="T322" i="25"/>
  <c r="U322" i="25"/>
  <c r="U317" i="25"/>
  <c r="T317" i="25"/>
  <c r="V317" i="25"/>
  <c r="U307" i="25"/>
  <c r="T307" i="25"/>
  <c r="V307" i="25"/>
  <c r="T301" i="25"/>
  <c r="U301" i="25"/>
  <c r="V301" i="25"/>
  <c r="T290" i="25"/>
  <c r="U290" i="25"/>
  <c r="V290" i="25"/>
  <c r="U285" i="25"/>
  <c r="T285" i="25"/>
  <c r="V285" i="25"/>
  <c r="T280" i="25"/>
  <c r="U280" i="25"/>
  <c r="V280" i="25"/>
  <c r="V266" i="25"/>
  <c r="T266" i="25"/>
  <c r="U266" i="25"/>
  <c r="T260" i="25"/>
  <c r="U260" i="25"/>
  <c r="V260" i="25"/>
  <c r="U255" i="25"/>
  <c r="T255" i="25"/>
  <c r="V255" i="25"/>
  <c r="U249" i="25"/>
  <c r="T249" i="25"/>
  <c r="V249" i="25"/>
  <c r="T244" i="25"/>
  <c r="U244" i="25"/>
  <c r="V244" i="25"/>
  <c r="U239" i="25"/>
  <c r="T239" i="25"/>
  <c r="V239" i="25"/>
  <c r="U228" i="25"/>
  <c r="V228" i="25"/>
  <c r="T228" i="25"/>
  <c r="T224" i="25"/>
  <c r="U224" i="25"/>
  <c r="V224" i="25"/>
  <c r="T210" i="25"/>
  <c r="U210" i="25"/>
  <c r="V210" i="25"/>
  <c r="U205" i="25"/>
  <c r="T205" i="25"/>
  <c r="V205" i="25"/>
  <c r="V194" i="25"/>
  <c r="T194" i="25"/>
  <c r="U194" i="25"/>
  <c r="T190" i="25"/>
  <c r="U190" i="25"/>
  <c r="V190" i="25"/>
  <c r="U180" i="25"/>
  <c r="V180" i="25"/>
  <c r="T180" i="25"/>
  <c r="U175" i="25"/>
  <c r="V175" i="25"/>
  <c r="T175" i="25"/>
  <c r="V170" i="25"/>
  <c r="T170" i="25"/>
  <c r="U170" i="25"/>
  <c r="U165" i="25"/>
  <c r="T165" i="25"/>
  <c r="V165" i="25"/>
  <c r="T160" i="25"/>
  <c r="U160" i="25"/>
  <c r="V160" i="25"/>
  <c r="T154" i="25"/>
  <c r="U154" i="25"/>
  <c r="V154" i="25"/>
  <c r="U149" i="25"/>
  <c r="T149" i="25"/>
  <c r="V149" i="25"/>
  <c r="T138" i="25"/>
  <c r="U138" i="25"/>
  <c r="V138" i="25"/>
  <c r="T134" i="25"/>
  <c r="U134" i="25"/>
  <c r="V134" i="25"/>
  <c r="U125" i="25"/>
  <c r="T125" i="25"/>
  <c r="V125" i="25"/>
  <c r="U119" i="25"/>
  <c r="T119" i="25"/>
  <c r="V119" i="25"/>
  <c r="J78" i="36"/>
  <c r="G111" i="36"/>
  <c r="G105" i="36"/>
  <c r="G99" i="36"/>
  <c r="G93" i="36"/>
  <c r="G87" i="36"/>
  <c r="G69" i="36"/>
  <c r="G51" i="36"/>
  <c r="G33" i="36"/>
  <c r="E107" i="36"/>
  <c r="E101" i="36"/>
  <c r="E95" i="36"/>
  <c r="E89" i="36"/>
  <c r="E75" i="36"/>
  <c r="E57" i="36"/>
  <c r="E39" i="36"/>
  <c r="F108" i="36"/>
  <c r="F102" i="36"/>
  <c r="F96" i="36"/>
  <c r="F90" i="36"/>
  <c r="N111" i="36"/>
  <c r="E111" i="46" s="1"/>
  <c r="N105" i="36"/>
  <c r="E105" i="46" s="1"/>
  <c r="N99" i="36"/>
  <c r="E99" i="46" s="1"/>
  <c r="N93" i="36"/>
  <c r="E93" i="46" s="1"/>
  <c r="N87" i="36"/>
  <c r="E87" i="46" s="1"/>
  <c r="N69" i="36"/>
  <c r="E69" i="46" s="1"/>
  <c r="N51" i="36"/>
  <c r="E51" i="46" s="1"/>
  <c r="N33" i="36"/>
  <c r="E33" i="46" s="1"/>
  <c r="C107" i="36"/>
  <c r="H107" i="36" s="1"/>
  <c r="C101" i="36"/>
  <c r="H101" i="36" s="1"/>
  <c r="C95" i="36"/>
  <c r="H95" i="36" s="1"/>
  <c r="C89" i="36"/>
  <c r="H89" i="36" s="1"/>
  <c r="T302" i="25"/>
  <c r="U302" i="25"/>
  <c r="V302" i="25"/>
  <c r="T296" i="25"/>
  <c r="U296" i="25"/>
  <c r="V296" i="25"/>
  <c r="T291" i="25"/>
  <c r="U291" i="25"/>
  <c r="V291" i="25"/>
  <c r="T286" i="25"/>
  <c r="U286" i="25"/>
  <c r="V286" i="25"/>
  <c r="U281" i="25"/>
  <c r="T281" i="25"/>
  <c r="V281" i="25"/>
  <c r="U276" i="25"/>
  <c r="V276" i="25"/>
  <c r="T276" i="25"/>
  <c r="U267" i="25"/>
  <c r="T267" i="25"/>
  <c r="V267" i="25"/>
  <c r="U261" i="25"/>
  <c r="T261" i="25"/>
  <c r="V261" i="25"/>
  <c r="T256" i="25"/>
  <c r="U256" i="25"/>
  <c r="V256" i="25"/>
  <c r="T250" i="25"/>
  <c r="U250" i="25"/>
  <c r="V250" i="25"/>
  <c r="U240" i="25"/>
  <c r="V240" i="25"/>
  <c r="T240" i="25"/>
  <c r="T200" i="25"/>
  <c r="U200" i="25"/>
  <c r="V200" i="25"/>
  <c r="U195" i="25"/>
  <c r="T195" i="25"/>
  <c r="V195" i="25"/>
  <c r="U171" i="25"/>
  <c r="T171" i="25"/>
  <c r="V171" i="25"/>
  <c r="T126" i="25"/>
  <c r="U126" i="25"/>
  <c r="V126" i="25"/>
  <c r="F286" i="25"/>
  <c r="F27" i="25"/>
  <c r="F134" i="25"/>
  <c r="F181" i="25"/>
  <c r="F228" i="25"/>
  <c r="F255" i="25"/>
  <c r="F327" i="25"/>
  <c r="F139" i="25"/>
  <c r="F224" i="25"/>
  <c r="F149" i="25"/>
  <c r="F280" i="25"/>
  <c r="F317" i="25"/>
  <c r="T350" i="25"/>
  <c r="U350" i="25"/>
  <c r="V350" i="25"/>
  <c r="U345" i="25"/>
  <c r="T345" i="25"/>
  <c r="V345" i="25"/>
  <c r="U337" i="25"/>
  <c r="T337" i="25"/>
  <c r="V337" i="25"/>
  <c r="U331" i="25"/>
  <c r="T331" i="25"/>
  <c r="V331" i="25"/>
  <c r="T316" i="25"/>
  <c r="U316" i="25"/>
  <c r="V316" i="25"/>
  <c r="U311" i="25"/>
  <c r="T311" i="25"/>
  <c r="V311" i="25"/>
  <c r="T306" i="25"/>
  <c r="U306" i="25"/>
  <c r="V306" i="25"/>
  <c r="T300" i="25"/>
  <c r="U300" i="25"/>
  <c r="V300" i="25"/>
  <c r="T295" i="25"/>
  <c r="U295" i="25"/>
  <c r="V295" i="25"/>
  <c r="T289" i="25"/>
  <c r="U289" i="25"/>
  <c r="V289" i="25"/>
  <c r="T284" i="25"/>
  <c r="U284" i="25"/>
  <c r="V284" i="25"/>
  <c r="U279" i="25"/>
  <c r="T279" i="25"/>
  <c r="V279" i="25"/>
  <c r="U275" i="25"/>
  <c r="T275" i="25"/>
  <c r="V275" i="25"/>
  <c r="T270" i="25"/>
  <c r="U270" i="25"/>
  <c r="V270" i="25"/>
  <c r="U265" i="25"/>
  <c r="T265" i="25"/>
  <c r="V265" i="25"/>
  <c r="V254" i="25"/>
  <c r="T254" i="25"/>
  <c r="U254" i="25"/>
  <c r="T248" i="25"/>
  <c r="U248" i="25"/>
  <c r="V248" i="25"/>
  <c r="U243" i="25"/>
  <c r="T243" i="25"/>
  <c r="V243" i="25"/>
  <c r="T238" i="25"/>
  <c r="U238" i="25"/>
  <c r="V238" i="25"/>
  <c r="U233" i="25"/>
  <c r="T233" i="25"/>
  <c r="V233" i="25"/>
  <c r="U223" i="25"/>
  <c r="V223" i="25"/>
  <c r="T223" i="25"/>
  <c r="V218" i="25"/>
  <c r="T218" i="25"/>
  <c r="U218" i="25"/>
  <c r="T214" i="25"/>
  <c r="U214" i="25"/>
  <c r="V214" i="25"/>
  <c r="U209" i="25"/>
  <c r="T209" i="25"/>
  <c r="V209" i="25"/>
  <c r="U204" i="25"/>
  <c r="V204" i="25"/>
  <c r="T204" i="25"/>
  <c r="U199" i="25"/>
  <c r="V199" i="25"/>
  <c r="T199" i="25"/>
  <c r="U193" i="25"/>
  <c r="T193" i="25"/>
  <c r="V193" i="25"/>
  <c r="U189" i="25"/>
  <c r="T189" i="25"/>
  <c r="V189" i="25"/>
  <c r="U185" i="25"/>
  <c r="T185" i="25"/>
  <c r="V185" i="25"/>
  <c r="U179" i="25"/>
  <c r="T179" i="25"/>
  <c r="V179" i="25"/>
  <c r="T174" i="25"/>
  <c r="U174" i="25"/>
  <c r="V174" i="25"/>
  <c r="U169" i="25"/>
  <c r="T169" i="25"/>
  <c r="V169" i="25"/>
  <c r="T164" i="25"/>
  <c r="U164" i="25"/>
  <c r="V164" i="25"/>
  <c r="U159" i="25"/>
  <c r="T159" i="25"/>
  <c r="V159" i="25"/>
  <c r="T148" i="25"/>
  <c r="U148" i="25"/>
  <c r="V148" i="25"/>
  <c r="U143" i="25"/>
  <c r="T143" i="25"/>
  <c r="V143" i="25"/>
  <c r="U137" i="25"/>
  <c r="T137" i="25"/>
  <c r="V137" i="25"/>
  <c r="U133" i="25"/>
  <c r="T133" i="25"/>
  <c r="V133" i="25"/>
  <c r="U129" i="25"/>
  <c r="T129" i="25"/>
  <c r="V129" i="25"/>
  <c r="T124" i="25"/>
  <c r="U124" i="25"/>
  <c r="V124" i="25"/>
  <c r="J62" i="36"/>
  <c r="J107" i="36"/>
  <c r="J63" i="36"/>
  <c r="J99" i="36"/>
  <c r="J102" i="36"/>
  <c r="J73" i="36"/>
  <c r="G110" i="36"/>
  <c r="G104" i="36"/>
  <c r="G98" i="36"/>
  <c r="G92" i="36"/>
  <c r="G84" i="36"/>
  <c r="G66" i="36"/>
  <c r="G48" i="36"/>
  <c r="E112" i="36"/>
  <c r="E106" i="36"/>
  <c r="E100" i="36"/>
  <c r="E94" i="36"/>
  <c r="E88" i="36"/>
  <c r="E72" i="36"/>
  <c r="E54" i="36"/>
  <c r="E36" i="36"/>
  <c r="F107" i="36"/>
  <c r="F101" i="36"/>
  <c r="F95" i="36"/>
  <c r="F89" i="36"/>
  <c r="N110" i="36"/>
  <c r="E110" i="46" s="1"/>
  <c r="N104" i="36"/>
  <c r="E104" i="46" s="1"/>
  <c r="N98" i="36"/>
  <c r="E98" i="46" s="1"/>
  <c r="N92" i="36"/>
  <c r="E92" i="46" s="1"/>
  <c r="N84" i="36"/>
  <c r="E84" i="46" s="1"/>
  <c r="N66" i="36"/>
  <c r="E66" i="46" s="1"/>
  <c r="N48" i="36"/>
  <c r="E48" i="46" s="1"/>
  <c r="C112" i="36"/>
  <c r="H112" i="36" s="1"/>
  <c r="C106" i="36"/>
  <c r="H106" i="36" s="1"/>
  <c r="C100" i="36"/>
  <c r="H100" i="36" s="1"/>
  <c r="C94" i="36"/>
  <c r="H94" i="36" s="1"/>
  <c r="C88" i="36"/>
  <c r="H88" i="36" s="1"/>
  <c r="U323" i="25"/>
  <c r="T323" i="25"/>
  <c r="V323" i="25"/>
  <c r="D225" i="25"/>
  <c r="F296" i="25"/>
  <c r="F291" i="25"/>
  <c r="F346" i="25"/>
  <c r="F351" i="25"/>
  <c r="F155" i="25"/>
  <c r="F250" i="25"/>
  <c r="F301" i="25"/>
  <c r="F116" i="25"/>
  <c r="F341" i="25"/>
  <c r="U355" i="25"/>
  <c r="T355" i="25"/>
  <c r="V355" i="25"/>
  <c r="U349" i="25"/>
  <c r="T349" i="25"/>
  <c r="V349" i="25"/>
  <c r="U344" i="25"/>
  <c r="V344" i="25"/>
  <c r="T344" i="25"/>
  <c r="T340" i="25"/>
  <c r="U340" i="25"/>
  <c r="V340" i="25"/>
  <c r="T336" i="25"/>
  <c r="U336" i="25"/>
  <c r="V336" i="25"/>
  <c r="T330" i="25"/>
  <c r="U330" i="25"/>
  <c r="V330" i="25"/>
  <c r="T326" i="25"/>
  <c r="U326" i="25"/>
  <c r="V326" i="25"/>
  <c r="U321" i="25"/>
  <c r="T321" i="25"/>
  <c r="V321" i="25"/>
  <c r="U315" i="25"/>
  <c r="T315" i="25"/>
  <c r="V315" i="25"/>
  <c r="T310" i="25"/>
  <c r="U310" i="25"/>
  <c r="V310" i="25"/>
  <c r="T305" i="25"/>
  <c r="U305" i="25"/>
  <c r="V305" i="25"/>
  <c r="T299" i="25"/>
  <c r="U299" i="25"/>
  <c r="V299" i="25"/>
  <c r="T294" i="25"/>
  <c r="U294" i="25"/>
  <c r="V294" i="25"/>
  <c r="T288" i="25"/>
  <c r="U288" i="25"/>
  <c r="V288" i="25"/>
  <c r="U283" i="25"/>
  <c r="V283" i="25"/>
  <c r="T283" i="25"/>
  <c r="V278" i="25"/>
  <c r="T278" i="25"/>
  <c r="U278" i="25"/>
  <c r="T274" i="25"/>
  <c r="U274" i="25"/>
  <c r="V274" i="25"/>
  <c r="U264" i="25"/>
  <c r="V264" i="25"/>
  <c r="T264" i="25"/>
  <c r="U259" i="25"/>
  <c r="V259" i="25"/>
  <c r="T259" i="25"/>
  <c r="U253" i="25"/>
  <c r="T253" i="25"/>
  <c r="V253" i="25"/>
  <c r="U247" i="25"/>
  <c r="V247" i="25"/>
  <c r="T247" i="25"/>
  <c r="V242" i="25"/>
  <c r="T242" i="25"/>
  <c r="U242" i="25"/>
  <c r="U237" i="25"/>
  <c r="T237" i="25"/>
  <c r="V237" i="25"/>
  <c r="T232" i="25"/>
  <c r="U232" i="25"/>
  <c r="V232" i="25"/>
  <c r="U227" i="25"/>
  <c r="T227" i="25"/>
  <c r="V227" i="25"/>
  <c r="T222" i="25"/>
  <c r="U222" i="25"/>
  <c r="V222" i="25"/>
  <c r="U217" i="25"/>
  <c r="T217" i="25"/>
  <c r="V217" i="25"/>
  <c r="U213" i="25"/>
  <c r="T213" i="25"/>
  <c r="V213" i="25"/>
  <c r="T208" i="25"/>
  <c r="U208" i="25"/>
  <c r="V208" i="25"/>
  <c r="U203" i="25"/>
  <c r="T203" i="25"/>
  <c r="V203" i="25"/>
  <c r="T198" i="25"/>
  <c r="U198" i="25"/>
  <c r="V198" i="25"/>
  <c r="U192" i="25"/>
  <c r="V192" i="25"/>
  <c r="T192" i="25"/>
  <c r="T184" i="25"/>
  <c r="U184" i="25"/>
  <c r="V184" i="25"/>
  <c r="U173" i="25"/>
  <c r="T173" i="25"/>
  <c r="V173" i="25"/>
  <c r="U168" i="25"/>
  <c r="V168" i="25"/>
  <c r="T168" i="25"/>
  <c r="U163" i="25"/>
  <c r="V163" i="25"/>
  <c r="T163" i="25"/>
  <c r="V158" i="25"/>
  <c r="T158" i="25"/>
  <c r="U158" i="25"/>
  <c r="U153" i="25"/>
  <c r="T153" i="25"/>
  <c r="V153" i="25"/>
  <c r="U147" i="25"/>
  <c r="T147" i="25"/>
  <c r="V147" i="25"/>
  <c r="T142" i="25"/>
  <c r="U142" i="25"/>
  <c r="V142" i="25"/>
  <c r="T132" i="25"/>
  <c r="U132" i="25"/>
  <c r="V132" i="25"/>
  <c r="T128" i="25"/>
  <c r="U128" i="25"/>
  <c r="V128" i="25"/>
  <c r="U123" i="25"/>
  <c r="T123" i="25"/>
  <c r="V123" i="25"/>
  <c r="T118" i="25"/>
  <c r="U118" i="25"/>
  <c r="V118" i="25"/>
  <c r="J92" i="36"/>
  <c r="J97" i="36"/>
  <c r="G109" i="36"/>
  <c r="G103" i="36"/>
  <c r="G97" i="36"/>
  <c r="G91" i="36"/>
  <c r="G81" i="36"/>
  <c r="G63" i="36"/>
  <c r="G45" i="36"/>
  <c r="E111" i="36"/>
  <c r="E105" i="36"/>
  <c r="E99" i="36"/>
  <c r="E93" i="36"/>
  <c r="E87" i="36"/>
  <c r="E69" i="36"/>
  <c r="E51" i="36"/>
  <c r="E33" i="36"/>
  <c r="F112" i="36"/>
  <c r="F106" i="36"/>
  <c r="F100" i="36"/>
  <c r="F94" i="36"/>
  <c r="F88" i="36"/>
  <c r="F50" i="36"/>
  <c r="N109" i="36"/>
  <c r="E109" i="46" s="1"/>
  <c r="N103" i="36"/>
  <c r="E103" i="46" s="1"/>
  <c r="N97" i="36"/>
  <c r="E97" i="46" s="1"/>
  <c r="N91" i="36"/>
  <c r="E91" i="46" s="1"/>
  <c r="N81" i="36"/>
  <c r="E81" i="46" s="1"/>
  <c r="N63" i="36"/>
  <c r="E63" i="46" s="1"/>
  <c r="N45" i="36"/>
  <c r="E45" i="46" s="1"/>
  <c r="C111" i="36"/>
  <c r="H111" i="36" s="1"/>
  <c r="C105" i="36"/>
  <c r="H105" i="36" s="1"/>
  <c r="C99" i="36"/>
  <c r="H99" i="36" s="1"/>
  <c r="C93" i="36"/>
  <c r="H93" i="36" s="1"/>
  <c r="C87" i="36"/>
  <c r="H87" i="36" s="1"/>
  <c r="T212" i="25"/>
  <c r="U212" i="25"/>
  <c r="V212" i="25"/>
  <c r="U207" i="25"/>
  <c r="T207" i="25"/>
  <c r="V207" i="25"/>
  <c r="T202" i="25"/>
  <c r="U202" i="25"/>
  <c r="V202" i="25"/>
  <c r="U197" i="25"/>
  <c r="T197" i="25"/>
  <c r="V197" i="25"/>
  <c r="U157" i="25"/>
  <c r="T157" i="25"/>
  <c r="V157" i="25"/>
  <c r="T136" i="25"/>
  <c r="U136" i="25"/>
  <c r="V136" i="25"/>
  <c r="T122" i="25"/>
  <c r="U122" i="25"/>
  <c r="V122" i="25"/>
  <c r="D117" i="25"/>
  <c r="G108" i="36"/>
  <c r="G102" i="36"/>
  <c r="G96" i="36"/>
  <c r="G90" i="36"/>
  <c r="G78" i="36"/>
  <c r="G60" i="36"/>
  <c r="G42" i="36"/>
  <c r="E110" i="36"/>
  <c r="E104" i="36"/>
  <c r="E98" i="36"/>
  <c r="E92" i="36"/>
  <c r="E84" i="36"/>
  <c r="E66" i="36"/>
  <c r="E48" i="36"/>
  <c r="N108" i="36"/>
  <c r="E108" i="46" s="1"/>
  <c r="N102" i="36"/>
  <c r="E102" i="46" s="1"/>
  <c r="N96" i="36"/>
  <c r="E96" i="46" s="1"/>
  <c r="N90" i="36"/>
  <c r="E90" i="46" s="1"/>
  <c r="N78" i="36"/>
  <c r="E78" i="46" s="1"/>
  <c r="N60" i="36"/>
  <c r="E60" i="46" s="1"/>
  <c r="N42" i="36"/>
  <c r="E42" i="46" s="1"/>
  <c r="C110" i="36"/>
  <c r="H110" i="36" s="1"/>
  <c r="C104" i="36"/>
  <c r="H104" i="36" s="1"/>
  <c r="C98" i="36"/>
  <c r="H98" i="36" s="1"/>
  <c r="C92" i="36"/>
  <c r="H92" i="36" s="1"/>
  <c r="U269" i="25"/>
  <c r="T269" i="25"/>
  <c r="V269" i="25"/>
  <c r="U263" i="25"/>
  <c r="T263" i="25"/>
  <c r="V263" i="25"/>
  <c r="T258" i="25"/>
  <c r="U258" i="25"/>
  <c r="V258" i="25"/>
  <c r="T246" i="25"/>
  <c r="U246" i="25"/>
  <c r="V246" i="25"/>
  <c r="U241" i="25"/>
  <c r="T241" i="25"/>
  <c r="V241" i="25"/>
  <c r="T236" i="25"/>
  <c r="U236" i="25"/>
  <c r="V236" i="25"/>
  <c r="U231" i="25"/>
  <c r="T231" i="25"/>
  <c r="V231" i="25"/>
  <c r="T226" i="25"/>
  <c r="U226" i="25"/>
  <c r="V226" i="25"/>
  <c r="U221" i="25"/>
  <c r="T221" i="25"/>
  <c r="V221" i="25"/>
  <c r="T188" i="25"/>
  <c r="U188" i="25"/>
  <c r="V188" i="25"/>
  <c r="U183" i="25"/>
  <c r="T183" i="25"/>
  <c r="V183" i="25"/>
  <c r="T178" i="25"/>
  <c r="U178" i="25"/>
  <c r="V178" i="25"/>
  <c r="T162" i="25"/>
  <c r="U162" i="25"/>
  <c r="V162" i="25"/>
  <c r="T152" i="25"/>
  <c r="U152" i="25"/>
  <c r="V152" i="25"/>
  <c r="V146" i="25"/>
  <c r="T146" i="25"/>
  <c r="U146" i="25"/>
  <c r="U141" i="25"/>
  <c r="T141" i="25"/>
  <c r="V141" i="25"/>
  <c r="U131" i="25"/>
  <c r="T131" i="25"/>
  <c r="V131" i="25"/>
  <c r="U127" i="25"/>
  <c r="T127" i="25"/>
  <c r="V127" i="25"/>
  <c r="F157" i="25"/>
  <c r="F176" i="25"/>
  <c r="F200" i="25"/>
  <c r="F234" i="25"/>
  <c r="F276" i="25"/>
  <c r="F246" i="25"/>
  <c r="F241" i="25"/>
  <c r="F333" i="25"/>
  <c r="F186" i="25"/>
  <c r="F323" i="25"/>
  <c r="F195" i="25"/>
  <c r="F332" i="25"/>
  <c r="F312" i="25"/>
  <c r="F302" i="25"/>
  <c r="F356" i="25"/>
  <c r="F219" i="25"/>
  <c r="U353" i="25"/>
  <c r="T353" i="25"/>
  <c r="V353" i="25"/>
  <c r="U347" i="25"/>
  <c r="T347" i="25"/>
  <c r="V347" i="25"/>
  <c r="U343" i="25"/>
  <c r="T343" i="25"/>
  <c r="V343" i="25"/>
  <c r="F338" i="25"/>
  <c r="V334" i="25"/>
  <c r="T334" i="25"/>
  <c r="U334" i="25"/>
  <c r="U329" i="25"/>
  <c r="T329" i="25"/>
  <c r="V329" i="25"/>
  <c r="T324" i="25"/>
  <c r="U324" i="25"/>
  <c r="V324" i="25"/>
  <c r="U319" i="25"/>
  <c r="T319" i="25"/>
  <c r="V319" i="25"/>
  <c r="U313" i="25"/>
  <c r="T313" i="25"/>
  <c r="V313" i="25"/>
  <c r="T308" i="25"/>
  <c r="U308" i="25"/>
  <c r="V308" i="25"/>
  <c r="T303" i="25"/>
  <c r="U303" i="25"/>
  <c r="V303" i="25"/>
  <c r="T297" i="25"/>
  <c r="U297" i="25"/>
  <c r="V297" i="25"/>
  <c r="T292" i="25"/>
  <c r="U292" i="25"/>
  <c r="V292" i="25"/>
  <c r="T287" i="25"/>
  <c r="U287" i="25"/>
  <c r="V287" i="25"/>
  <c r="T282" i="25"/>
  <c r="U282" i="25"/>
  <c r="V282" i="25"/>
  <c r="U277" i="25"/>
  <c r="T277" i="25"/>
  <c r="V277" i="25"/>
  <c r="T272" i="25"/>
  <c r="U272" i="25"/>
  <c r="V272" i="25"/>
  <c r="T268" i="25"/>
  <c r="U268" i="25"/>
  <c r="V268" i="25"/>
  <c r="T262" i="25"/>
  <c r="U262" i="25"/>
  <c r="V262" i="25"/>
  <c r="U257" i="25"/>
  <c r="T257" i="25"/>
  <c r="V257" i="25"/>
  <c r="U251" i="25"/>
  <c r="T251" i="25"/>
  <c r="V251" i="25"/>
  <c r="U245" i="25"/>
  <c r="T245" i="25"/>
  <c r="V245" i="25"/>
  <c r="F240" i="25"/>
  <c r="U235" i="25"/>
  <c r="V235" i="25"/>
  <c r="T235" i="25"/>
  <c r="V230" i="25"/>
  <c r="T230" i="25"/>
  <c r="U230" i="25"/>
  <c r="F225" i="25"/>
  <c r="T220" i="25"/>
  <c r="U220" i="25"/>
  <c r="V220" i="25"/>
  <c r="U216" i="25"/>
  <c r="V216" i="25"/>
  <c r="T216" i="25"/>
  <c r="U211" i="25"/>
  <c r="V211" i="25"/>
  <c r="T211" i="25"/>
  <c r="V206" i="25"/>
  <c r="T206" i="25"/>
  <c r="U206" i="25"/>
  <c r="U201" i="25"/>
  <c r="T201" i="25"/>
  <c r="V201" i="25"/>
  <c r="T196" i="25"/>
  <c r="U196" i="25"/>
  <c r="V196" i="25"/>
  <c r="U191" i="25"/>
  <c r="T191" i="25"/>
  <c r="V191" i="25"/>
  <c r="U187" i="25"/>
  <c r="V187" i="25"/>
  <c r="T187" i="25"/>
  <c r="V182" i="25"/>
  <c r="T182" i="25"/>
  <c r="U182" i="25"/>
  <c r="U177" i="25"/>
  <c r="T177" i="25"/>
  <c r="V177" i="25"/>
  <c r="T172" i="25"/>
  <c r="U172" i="25"/>
  <c r="V172" i="25"/>
  <c r="U167" i="25"/>
  <c r="T167" i="25"/>
  <c r="V167" i="25"/>
  <c r="F161" i="25"/>
  <c r="U156" i="25"/>
  <c r="V156" i="25"/>
  <c r="T156" i="25"/>
  <c r="U151" i="25"/>
  <c r="V151" i="25"/>
  <c r="T151" i="25"/>
  <c r="U145" i="25"/>
  <c r="T145" i="25"/>
  <c r="V145" i="25"/>
  <c r="T140" i="25"/>
  <c r="U140" i="25"/>
  <c r="V140" i="25"/>
  <c r="F135" i="25"/>
  <c r="F130" i="25"/>
  <c r="F126" i="25"/>
  <c r="U121" i="25"/>
  <c r="T121" i="25"/>
  <c r="V121" i="25"/>
  <c r="U117" i="25"/>
  <c r="T117" i="25"/>
  <c r="V117" i="25"/>
  <c r="J104" i="36"/>
  <c r="J96" i="36"/>
  <c r="J108" i="36"/>
  <c r="G107" i="36"/>
  <c r="G101" i="36"/>
  <c r="G95" i="36"/>
  <c r="G89" i="36"/>
  <c r="G75" i="36"/>
  <c r="G57" i="36"/>
  <c r="G39" i="36"/>
  <c r="E109" i="36"/>
  <c r="E103" i="36"/>
  <c r="E97" i="36"/>
  <c r="E91" i="36"/>
  <c r="E81" i="36"/>
  <c r="E63" i="36"/>
  <c r="E45" i="36"/>
  <c r="F86" i="36"/>
  <c r="F32" i="36"/>
  <c r="N75" i="36"/>
  <c r="E75" i="46" s="1"/>
  <c r="N57" i="36"/>
  <c r="E57" i="46" s="1"/>
  <c r="N39" i="36"/>
  <c r="E39" i="46" s="1"/>
  <c r="C109" i="36"/>
  <c r="H109" i="36" s="1"/>
  <c r="C103" i="36"/>
  <c r="H103" i="36" s="1"/>
  <c r="C97" i="36"/>
  <c r="H97" i="36" s="1"/>
  <c r="C91" i="36"/>
  <c r="H91" i="36" s="1"/>
  <c r="T342" i="25"/>
  <c r="U342" i="25"/>
  <c r="V342" i="25"/>
  <c r="T318" i="25"/>
  <c r="U318" i="25"/>
  <c r="V318" i="25"/>
  <c r="U271" i="25"/>
  <c r="V271" i="25"/>
  <c r="T271" i="25"/>
  <c r="T150" i="25"/>
  <c r="U150" i="25"/>
  <c r="V150" i="25"/>
  <c r="G112" i="36"/>
  <c r="G106" i="36"/>
  <c r="G100" i="36"/>
  <c r="G94" i="36"/>
  <c r="G88" i="36"/>
  <c r="G72" i="36"/>
  <c r="G54" i="36"/>
  <c r="G36" i="36"/>
  <c r="E108" i="36"/>
  <c r="E102" i="36"/>
  <c r="E96" i="36"/>
  <c r="E90" i="36"/>
  <c r="E78" i="36"/>
  <c r="E60" i="36"/>
  <c r="E42" i="36"/>
  <c r="N72" i="36"/>
  <c r="E72" i="46" s="1"/>
  <c r="N54" i="36"/>
  <c r="E54" i="46" s="1"/>
  <c r="N36" i="36"/>
  <c r="E36" i="46" s="1"/>
  <c r="F76" i="25"/>
  <c r="J80" i="36"/>
  <c r="E83" i="36"/>
  <c r="G83" i="36"/>
  <c r="N83" i="36"/>
  <c r="E83" i="46" s="1"/>
  <c r="E77" i="36"/>
  <c r="G77" i="36"/>
  <c r="C77" i="36"/>
  <c r="H77" i="36" s="1"/>
  <c r="N77" i="36"/>
  <c r="E77" i="46" s="1"/>
  <c r="J71" i="36"/>
  <c r="E71" i="36"/>
  <c r="G71" i="36"/>
  <c r="N71" i="36"/>
  <c r="E71" i="46" s="1"/>
  <c r="C71" i="36"/>
  <c r="H71" i="36" s="1"/>
  <c r="E65" i="36"/>
  <c r="G65" i="36"/>
  <c r="C65" i="36"/>
  <c r="H65" i="36" s="1"/>
  <c r="N65" i="36"/>
  <c r="E65" i="46" s="1"/>
  <c r="E59" i="36"/>
  <c r="G59" i="36"/>
  <c r="J59" i="36"/>
  <c r="N59" i="36"/>
  <c r="E59" i="46" s="1"/>
  <c r="C59" i="36"/>
  <c r="H59" i="36" s="1"/>
  <c r="E53" i="36"/>
  <c r="G53" i="36"/>
  <c r="C53" i="36"/>
  <c r="H53" i="36" s="1"/>
  <c r="N53" i="36"/>
  <c r="E53" i="46" s="1"/>
  <c r="E47" i="36"/>
  <c r="G47" i="36"/>
  <c r="J47" i="36"/>
  <c r="N47" i="36"/>
  <c r="E47" i="46" s="1"/>
  <c r="C47" i="36"/>
  <c r="H47" i="36" s="1"/>
  <c r="E41" i="36"/>
  <c r="G41" i="36"/>
  <c r="C41" i="36"/>
  <c r="H41" i="36" s="1"/>
  <c r="N41" i="36"/>
  <c r="E41" i="46" s="1"/>
  <c r="J41" i="36"/>
  <c r="E35" i="36"/>
  <c r="G35" i="36"/>
  <c r="N35" i="36"/>
  <c r="E35" i="46" s="1"/>
  <c r="C35" i="36"/>
  <c r="H35" i="36" s="1"/>
  <c r="A21" i="46"/>
  <c r="B22" i="49"/>
  <c r="F83" i="36"/>
  <c r="F65" i="36"/>
  <c r="F47" i="36"/>
  <c r="C27" i="36"/>
  <c r="H27" i="36" s="1"/>
  <c r="F27" i="36"/>
  <c r="J27" i="36"/>
  <c r="C24" i="36"/>
  <c r="H24" i="36" s="1"/>
  <c r="B25" i="49"/>
  <c r="A24" i="46"/>
  <c r="J24" i="36"/>
  <c r="F24" i="36"/>
  <c r="C83" i="36"/>
  <c r="H83" i="36" s="1"/>
  <c r="F53" i="25"/>
  <c r="D153" i="25"/>
  <c r="D94" i="25"/>
  <c r="J77" i="36"/>
  <c r="F80" i="36"/>
  <c r="F44" i="36"/>
  <c r="N86" i="36"/>
  <c r="E86" i="46" s="1"/>
  <c r="J86" i="36"/>
  <c r="E86" i="36"/>
  <c r="G86" i="36"/>
  <c r="N80" i="36"/>
  <c r="E80" i="46" s="1"/>
  <c r="E80" i="36"/>
  <c r="G80" i="36"/>
  <c r="N74" i="36"/>
  <c r="E74" i="46" s="1"/>
  <c r="J74" i="36"/>
  <c r="E74" i="36"/>
  <c r="G74" i="36"/>
  <c r="N68" i="36"/>
  <c r="E68" i="46" s="1"/>
  <c r="E68" i="36"/>
  <c r="G68" i="36"/>
  <c r="J68" i="36"/>
  <c r="N62" i="36"/>
  <c r="E62" i="46" s="1"/>
  <c r="E62" i="36"/>
  <c r="G62" i="36"/>
  <c r="J56" i="36"/>
  <c r="N56" i="36"/>
  <c r="E56" i="46" s="1"/>
  <c r="E56" i="36"/>
  <c r="G56" i="36"/>
  <c r="N50" i="36"/>
  <c r="E50" i="46" s="1"/>
  <c r="J50" i="36"/>
  <c r="E50" i="36"/>
  <c r="G50" i="36"/>
  <c r="N44" i="36"/>
  <c r="E44" i="46" s="1"/>
  <c r="E44" i="36"/>
  <c r="G44" i="36"/>
  <c r="N38" i="36"/>
  <c r="E38" i="46" s="1"/>
  <c r="J38" i="36"/>
  <c r="E38" i="36"/>
  <c r="G38" i="36"/>
  <c r="N32" i="36"/>
  <c r="E32" i="46" s="1"/>
  <c r="E32" i="36"/>
  <c r="G32" i="36"/>
  <c r="C17" i="36"/>
  <c r="H17" i="36" s="1"/>
  <c r="B18" i="49"/>
  <c r="D226" i="25"/>
  <c r="D335" i="25"/>
  <c r="D293" i="25"/>
  <c r="D164" i="25"/>
  <c r="D77" i="25"/>
  <c r="D64" i="25"/>
  <c r="D298" i="25"/>
  <c r="F17" i="36"/>
  <c r="D272" i="25"/>
  <c r="D247" i="25"/>
  <c r="D313" i="25"/>
  <c r="D340" i="25"/>
  <c r="D45" i="25"/>
  <c r="D60" i="25"/>
  <c r="D322" i="25"/>
  <c r="D321" i="25"/>
  <c r="D275" i="25"/>
  <c r="D114" i="25"/>
  <c r="D103" i="25"/>
  <c r="D270" i="25"/>
  <c r="D323" i="25"/>
  <c r="D277" i="25"/>
  <c r="D170" i="25"/>
  <c r="D99" i="25"/>
  <c r="F74" i="36"/>
  <c r="F56" i="36"/>
  <c r="F38" i="36"/>
  <c r="B19" i="49"/>
  <c r="G18" i="36"/>
  <c r="A18" i="46"/>
  <c r="C68" i="36"/>
  <c r="H68" i="36" s="1"/>
  <c r="C32" i="36"/>
  <c r="H32" i="36" s="1"/>
  <c r="F31" i="25"/>
  <c r="D31" i="25"/>
  <c r="F82" i="25"/>
  <c r="D86" i="25"/>
  <c r="D354" i="25"/>
  <c r="J44" i="36"/>
  <c r="F71" i="36"/>
  <c r="F53" i="36"/>
  <c r="F35" i="36"/>
  <c r="G29" i="36"/>
  <c r="J29" i="36"/>
  <c r="N29" i="36"/>
  <c r="C29" i="36"/>
  <c r="H29" i="36" s="1"/>
  <c r="C62" i="36"/>
  <c r="H62" i="36" s="1"/>
  <c r="F30" i="3"/>
  <c r="O22" i="24" s="1"/>
  <c r="T22" i="24" s="1"/>
  <c r="J72" i="36"/>
  <c r="J66" i="36"/>
  <c r="J79" i="36"/>
  <c r="B21" i="49"/>
  <c r="F85" i="36"/>
  <c r="F79" i="36"/>
  <c r="F73" i="36"/>
  <c r="F67" i="36"/>
  <c r="F61" i="36"/>
  <c r="F55" i="36"/>
  <c r="F49" i="36"/>
  <c r="F43" i="36"/>
  <c r="F37" i="36"/>
  <c r="F31" i="36"/>
  <c r="C82" i="36"/>
  <c r="H82" i="36" s="1"/>
  <c r="C76" i="36"/>
  <c r="H76" i="36" s="1"/>
  <c r="C70" i="36"/>
  <c r="H70" i="36" s="1"/>
  <c r="C64" i="36"/>
  <c r="H64" i="36" s="1"/>
  <c r="C58" i="36"/>
  <c r="H58" i="36" s="1"/>
  <c r="C52" i="36"/>
  <c r="H52" i="36" s="1"/>
  <c r="C46" i="36"/>
  <c r="H46" i="36" s="1"/>
  <c r="C40" i="36"/>
  <c r="H40" i="36" s="1"/>
  <c r="C34" i="36"/>
  <c r="H34" i="36" s="1"/>
  <c r="C28" i="36"/>
  <c r="H28" i="36" s="1"/>
  <c r="F86" i="25"/>
  <c r="F49" i="25"/>
  <c r="J58" i="36"/>
  <c r="J48" i="36"/>
  <c r="B20" i="49"/>
  <c r="G85" i="36"/>
  <c r="G79" i="36"/>
  <c r="G73" i="36"/>
  <c r="G67" i="36"/>
  <c r="G61" i="36"/>
  <c r="G55" i="36"/>
  <c r="G49" i="36"/>
  <c r="G43" i="36"/>
  <c r="G37" i="36"/>
  <c r="G31" i="36"/>
  <c r="E85" i="36"/>
  <c r="E79" i="36"/>
  <c r="E73" i="36"/>
  <c r="E67" i="36"/>
  <c r="E61" i="36"/>
  <c r="E55" i="36"/>
  <c r="E49" i="36"/>
  <c r="E43" i="36"/>
  <c r="E37" i="36"/>
  <c r="F84" i="36"/>
  <c r="F78" i="36"/>
  <c r="F72" i="36"/>
  <c r="F66" i="36"/>
  <c r="F60" i="36"/>
  <c r="F54" i="36"/>
  <c r="F48" i="36"/>
  <c r="F42" i="36"/>
  <c r="F36" i="36"/>
  <c r="N82" i="36"/>
  <c r="E82" i="46" s="1"/>
  <c r="N76" i="36"/>
  <c r="E76" i="46" s="1"/>
  <c r="N70" i="36"/>
  <c r="E70" i="46" s="1"/>
  <c r="N64" i="36"/>
  <c r="E64" i="46" s="1"/>
  <c r="N58" i="36"/>
  <c r="E58" i="46" s="1"/>
  <c r="N52" i="36"/>
  <c r="E52" i="46" s="1"/>
  <c r="N46" i="36"/>
  <c r="E46" i="46" s="1"/>
  <c r="N40" i="36"/>
  <c r="E40" i="46" s="1"/>
  <c r="N34" i="36"/>
  <c r="E34" i="46" s="1"/>
  <c r="C26" i="36"/>
  <c r="H26" i="36" s="1"/>
  <c r="B24" i="49"/>
  <c r="C81" i="36"/>
  <c r="H81" i="36" s="1"/>
  <c r="C75" i="36"/>
  <c r="H75" i="36" s="1"/>
  <c r="C69" i="36"/>
  <c r="H69" i="36" s="1"/>
  <c r="C63" i="36"/>
  <c r="H63" i="36" s="1"/>
  <c r="C57" i="36"/>
  <c r="H57" i="36" s="1"/>
  <c r="C51" i="36"/>
  <c r="H51" i="36" s="1"/>
  <c r="C45" i="36"/>
  <c r="H45" i="36" s="1"/>
  <c r="C39" i="36"/>
  <c r="H39" i="36" s="1"/>
  <c r="C33" i="36"/>
  <c r="H33" i="36" s="1"/>
  <c r="B17" i="49"/>
  <c r="F82" i="36"/>
  <c r="F76" i="36"/>
  <c r="F70" i="36"/>
  <c r="F64" i="36"/>
  <c r="F58" i="36"/>
  <c r="F52" i="36"/>
  <c r="F46" i="36"/>
  <c r="F40" i="36"/>
  <c r="F34" i="36"/>
  <c r="C25" i="36"/>
  <c r="H25" i="36" s="1"/>
  <c r="B26" i="49"/>
  <c r="C14" i="36"/>
  <c r="H14" i="36" s="1"/>
  <c r="B15" i="49"/>
  <c r="C85" i="36"/>
  <c r="H85" i="36" s="1"/>
  <c r="C79" i="36"/>
  <c r="H79" i="36" s="1"/>
  <c r="C73" i="36"/>
  <c r="H73" i="36" s="1"/>
  <c r="C67" i="36"/>
  <c r="H67" i="36" s="1"/>
  <c r="C61" i="36"/>
  <c r="H61" i="36" s="1"/>
  <c r="C55" i="36"/>
  <c r="H55" i="36" s="1"/>
  <c r="C49" i="36"/>
  <c r="H49" i="36" s="1"/>
  <c r="C43" i="36"/>
  <c r="H43" i="36" s="1"/>
  <c r="C37" i="36"/>
  <c r="H37" i="36" s="1"/>
  <c r="C31" i="36"/>
  <c r="H31" i="36" s="1"/>
  <c r="B23" i="49"/>
  <c r="B16" i="49"/>
  <c r="G82" i="36"/>
  <c r="G76" i="36"/>
  <c r="G70" i="36"/>
  <c r="G64" i="36"/>
  <c r="G58" i="36"/>
  <c r="G52" i="36"/>
  <c r="G46" i="36"/>
  <c r="G40" i="36"/>
  <c r="G34" i="36"/>
  <c r="E46" i="36"/>
  <c r="E40" i="36"/>
  <c r="E34" i="36"/>
  <c r="F45" i="36"/>
  <c r="F39" i="36"/>
  <c r="F33" i="36"/>
  <c r="N43" i="36"/>
  <c r="E43" i="46" s="1"/>
  <c r="N37" i="36"/>
  <c r="E37" i="46" s="1"/>
  <c r="N31" i="36"/>
  <c r="C13" i="36"/>
  <c r="H13" i="36" s="1"/>
  <c r="B14" i="49"/>
  <c r="C48" i="36"/>
  <c r="H48" i="36" s="1"/>
  <c r="C42" i="36"/>
  <c r="H42" i="36" s="1"/>
  <c r="C36" i="36"/>
  <c r="H36" i="36" s="1"/>
  <c r="C30" i="36"/>
  <c r="H30" i="36" s="1"/>
  <c r="I17" i="24"/>
  <c r="D31" i="48" s="1"/>
  <c r="I24" i="24"/>
  <c r="E28" i="36" s="1"/>
  <c r="I16" i="24"/>
  <c r="I10" i="24"/>
  <c r="D24" i="48" s="1"/>
  <c r="I11" i="24"/>
  <c r="E38" i="47"/>
  <c r="D120" i="49"/>
  <c r="I23" i="24"/>
  <c r="I15" i="24"/>
  <c r="I9" i="24"/>
  <c r="J16" i="25" s="1"/>
  <c r="T8" i="27"/>
  <c r="D12" i="27" s="1"/>
  <c r="C6" i="49"/>
  <c r="D11" i="47"/>
  <c r="D13" i="47" s="1"/>
  <c r="B14" i="20"/>
  <c r="C8" i="49"/>
  <c r="I28" i="24"/>
  <c r="D42" i="48" s="1"/>
  <c r="I22" i="24"/>
  <c r="D36" i="48" s="1"/>
  <c r="I20" i="24"/>
  <c r="I14" i="24"/>
  <c r="D28" i="48" s="1"/>
  <c r="I25" i="24"/>
  <c r="D30" i="41" s="1"/>
  <c r="E5" i="3"/>
  <c r="I27" i="24"/>
  <c r="J34" i="25" s="1"/>
  <c r="I21" i="24"/>
  <c r="D35" i="48" s="1"/>
  <c r="I19" i="24"/>
  <c r="I13" i="24"/>
  <c r="B12" i="20"/>
  <c r="C5" i="49"/>
  <c r="I26" i="24"/>
  <c r="E34" i="3" s="1"/>
  <c r="I18" i="24"/>
  <c r="D32" i="48" s="1"/>
  <c r="I12" i="24"/>
  <c r="D26" i="48" s="1"/>
  <c r="D3" i="24"/>
  <c r="C5" i="44"/>
  <c r="G3" i="24"/>
  <c r="B13" i="20"/>
  <c r="T7" i="27"/>
  <c r="D11" i="27" s="1"/>
  <c r="D5" i="3"/>
  <c r="D12" i="47"/>
  <c r="D12" i="1"/>
  <c r="G19" i="36"/>
  <c r="J19" i="36"/>
  <c r="A17" i="46"/>
  <c r="G17" i="36"/>
  <c r="J16" i="36"/>
  <c r="V112" i="25"/>
  <c r="T112" i="25"/>
  <c r="U112" i="25"/>
  <c r="V106" i="25"/>
  <c r="T106" i="25"/>
  <c r="U106" i="25"/>
  <c r="V100" i="25"/>
  <c r="T100" i="25"/>
  <c r="U100" i="25"/>
  <c r="V94" i="25"/>
  <c r="T94" i="25"/>
  <c r="U94" i="25"/>
  <c r="T88" i="25"/>
  <c r="U88" i="25"/>
  <c r="V88" i="25"/>
  <c r="V82" i="25"/>
  <c r="T82" i="25"/>
  <c r="U82" i="25"/>
  <c r="V76" i="25"/>
  <c r="T76" i="25"/>
  <c r="U76" i="25"/>
  <c r="T70" i="25"/>
  <c r="U70" i="25"/>
  <c r="V70" i="25"/>
  <c r="F3" i="24"/>
  <c r="P5" i="25"/>
  <c r="P4" i="25"/>
  <c r="Q4" i="25" s="1"/>
  <c r="P3" i="25"/>
  <c r="T111" i="25"/>
  <c r="U111" i="25"/>
  <c r="V111" i="25"/>
  <c r="T105" i="25"/>
  <c r="U105" i="25"/>
  <c r="V105" i="25"/>
  <c r="T99" i="25"/>
  <c r="U99" i="25"/>
  <c r="V99" i="25"/>
  <c r="T93" i="25"/>
  <c r="U93" i="25"/>
  <c r="V93" i="25"/>
  <c r="T87" i="25"/>
  <c r="U87" i="25"/>
  <c r="V87" i="25"/>
  <c r="T81" i="25"/>
  <c r="U81" i="25"/>
  <c r="V81" i="25"/>
  <c r="T75" i="25"/>
  <c r="U75" i="25"/>
  <c r="V75" i="25"/>
  <c r="T69" i="25"/>
  <c r="U69" i="25"/>
  <c r="V69" i="25"/>
  <c r="V110" i="25"/>
  <c r="T110" i="25"/>
  <c r="U110" i="25"/>
  <c r="T104" i="25"/>
  <c r="V104" i="25"/>
  <c r="U104" i="25"/>
  <c r="T98" i="25"/>
  <c r="U98" i="25"/>
  <c r="V98" i="25"/>
  <c r="V92" i="25"/>
  <c r="T92" i="25"/>
  <c r="U92" i="25"/>
  <c r="V86" i="25"/>
  <c r="T86" i="25"/>
  <c r="U86" i="25"/>
  <c r="T80" i="25"/>
  <c r="U80" i="25"/>
  <c r="V80" i="25"/>
  <c r="V74" i="25"/>
  <c r="T74" i="25"/>
  <c r="U74" i="25"/>
  <c r="T68" i="25"/>
  <c r="V68" i="25"/>
  <c r="U68" i="25"/>
  <c r="T115" i="25"/>
  <c r="U115" i="25"/>
  <c r="V115" i="25"/>
  <c r="T109" i="25"/>
  <c r="U109" i="25"/>
  <c r="V109" i="25"/>
  <c r="T103" i="25"/>
  <c r="U103" i="25"/>
  <c r="V103" i="25"/>
  <c r="T97" i="25"/>
  <c r="U97" i="25"/>
  <c r="V97" i="25"/>
  <c r="T91" i="25"/>
  <c r="U91" i="25"/>
  <c r="V91" i="25"/>
  <c r="T85" i="25"/>
  <c r="U85" i="25"/>
  <c r="V85" i="25"/>
  <c r="T79" i="25"/>
  <c r="U79" i="25"/>
  <c r="V79" i="25"/>
  <c r="T73" i="25"/>
  <c r="U73" i="25"/>
  <c r="V73" i="25"/>
  <c r="T67" i="25"/>
  <c r="U67" i="25"/>
  <c r="V67" i="25"/>
  <c r="V114" i="25"/>
  <c r="T114" i="25"/>
  <c r="U114" i="25"/>
  <c r="T108" i="25"/>
  <c r="U108" i="25"/>
  <c r="V108" i="25"/>
  <c r="V102" i="25"/>
  <c r="T102" i="25"/>
  <c r="U102" i="25"/>
  <c r="V96" i="25"/>
  <c r="T96" i="25"/>
  <c r="U96" i="25"/>
  <c r="T90" i="25"/>
  <c r="V90" i="25"/>
  <c r="U90" i="25"/>
  <c r="V84" i="25"/>
  <c r="T84" i="25"/>
  <c r="U84" i="25"/>
  <c r="T78" i="25"/>
  <c r="V78" i="25"/>
  <c r="U78" i="25"/>
  <c r="V72" i="25"/>
  <c r="T72" i="25"/>
  <c r="U72" i="25"/>
  <c r="V66" i="25"/>
  <c r="T66" i="25"/>
  <c r="U66" i="25"/>
  <c r="T113" i="25"/>
  <c r="U113" i="25"/>
  <c r="V113" i="25"/>
  <c r="T107" i="25"/>
  <c r="U107" i="25"/>
  <c r="V107" i="25"/>
  <c r="T101" i="25"/>
  <c r="U101" i="25"/>
  <c r="V101" i="25"/>
  <c r="T95" i="25"/>
  <c r="U95" i="25"/>
  <c r="V95" i="25"/>
  <c r="T89" i="25"/>
  <c r="U89" i="25"/>
  <c r="V89" i="25"/>
  <c r="T83" i="25"/>
  <c r="U83" i="25"/>
  <c r="V83" i="25"/>
  <c r="T77" i="25"/>
  <c r="U77" i="25"/>
  <c r="V77" i="25"/>
  <c r="T71" i="25"/>
  <c r="U71" i="25"/>
  <c r="V71" i="25"/>
  <c r="F18" i="25"/>
  <c r="J18" i="36"/>
  <c r="F21" i="25"/>
  <c r="J13" i="36"/>
  <c r="F16" i="25"/>
  <c r="F24" i="25"/>
  <c r="J22" i="36"/>
  <c r="F23" i="25"/>
  <c r="N13" i="36"/>
  <c r="J17" i="36"/>
  <c r="J20" i="36"/>
  <c r="N14" i="36"/>
  <c r="J14" i="36"/>
  <c r="N18" i="36"/>
  <c r="D11" i="45"/>
  <c r="M212" i="25"/>
  <c r="D142" i="25"/>
  <c r="D66" i="25"/>
  <c r="D89" i="25"/>
  <c r="D68" i="25"/>
  <c r="D32" i="25"/>
  <c r="D106" i="25"/>
  <c r="D91" i="25"/>
  <c r="D132" i="25"/>
  <c r="D140" i="25"/>
  <c r="D216" i="25"/>
  <c r="D172" i="25"/>
  <c r="D285" i="25"/>
  <c r="D297" i="25"/>
  <c r="D279" i="25"/>
  <c r="D334" i="25"/>
  <c r="D167" i="25"/>
  <c r="D350" i="25"/>
  <c r="D149" i="25"/>
  <c r="D179" i="25"/>
  <c r="D40" i="25"/>
  <c r="D36" i="25"/>
  <c r="D104" i="25"/>
  <c r="D84" i="25"/>
  <c r="D46" i="25"/>
  <c r="D98" i="25"/>
  <c r="D101" i="25"/>
  <c r="D217" i="25"/>
  <c r="D325" i="25"/>
  <c r="D195" i="25"/>
  <c r="D224" i="25"/>
  <c r="D347" i="25"/>
  <c r="D263" i="25"/>
  <c r="D123" i="25"/>
  <c r="D292" i="25"/>
  <c r="D174" i="25"/>
  <c r="D306" i="25"/>
  <c r="D269" i="25"/>
  <c r="C23" i="36"/>
  <c r="H23" i="36" s="1"/>
  <c r="F23" i="36"/>
  <c r="G23" i="36"/>
  <c r="J23" i="36"/>
  <c r="D97" i="25"/>
  <c r="D81" i="25"/>
  <c r="D87" i="25"/>
  <c r="D156" i="25"/>
  <c r="A23" i="46"/>
  <c r="D256" i="25"/>
  <c r="D135" i="25"/>
  <c r="D71" i="25"/>
  <c r="D41" i="25"/>
  <c r="D37" i="25"/>
  <c r="D75" i="25"/>
  <c r="D43" i="25"/>
  <c r="D82" i="25"/>
  <c r="D52" i="25"/>
  <c r="D308" i="25"/>
  <c r="D157" i="25"/>
  <c r="D180" i="25"/>
  <c r="D264" i="25"/>
  <c r="D282" i="25"/>
  <c r="D300" i="25"/>
  <c r="D254" i="25"/>
  <c r="D230" i="25"/>
  <c r="D250" i="25"/>
  <c r="D280" i="25"/>
  <c r="D165" i="25"/>
  <c r="D244" i="25"/>
  <c r="D96" i="25"/>
  <c r="D62" i="25"/>
  <c r="D39" i="25"/>
  <c r="D42" i="25"/>
  <c r="D49" i="25"/>
  <c r="D50" i="25"/>
  <c r="D58" i="25"/>
  <c r="D201" i="25"/>
  <c r="D207" i="25"/>
  <c r="D148" i="25"/>
  <c r="D237" i="25"/>
  <c r="D238" i="25"/>
  <c r="D161" i="25"/>
  <c r="D200" i="25"/>
  <c r="D190" i="25"/>
  <c r="D233" i="25"/>
  <c r="D182" i="25"/>
  <c r="F29" i="3"/>
  <c r="O21" i="24" s="1"/>
  <c r="T21" i="24" s="1"/>
  <c r="D122" i="25"/>
  <c r="D113" i="25"/>
  <c r="D51" i="25"/>
  <c r="D102" i="25"/>
  <c r="D53" i="25"/>
  <c r="D63" i="25"/>
  <c r="D110" i="25"/>
  <c r="D59" i="25"/>
  <c r="D44" i="25"/>
  <c r="D100" i="25"/>
  <c r="D109" i="25"/>
  <c r="D108" i="25"/>
  <c r="D93" i="25"/>
  <c r="D79" i="25"/>
  <c r="D67" i="25"/>
  <c r="D121" i="25"/>
  <c r="D163" i="25"/>
  <c r="D151" i="25"/>
  <c r="D120" i="25"/>
  <c r="D211" i="25"/>
  <c r="D296" i="25"/>
  <c r="D227" i="25"/>
  <c r="D169" i="25"/>
  <c r="D307" i="25"/>
  <c r="D314" i="25"/>
  <c r="D342" i="25"/>
  <c r="D128" i="25"/>
  <c r="D197" i="25"/>
  <c r="D193" i="25"/>
  <c r="D295" i="25"/>
  <c r="D266" i="25"/>
  <c r="D252" i="25"/>
  <c r="D184" i="25"/>
  <c r="D331" i="25"/>
  <c r="D232" i="25"/>
  <c r="D318" i="25"/>
  <c r="D204" i="25"/>
  <c r="D299" i="25"/>
  <c r="D281" i="25"/>
  <c r="D222" i="25"/>
  <c r="D178" i="25"/>
  <c r="D231" i="25"/>
  <c r="D127" i="25"/>
  <c r="G15" i="36"/>
  <c r="D312" i="25"/>
  <c r="G21" i="36"/>
  <c r="D129" i="25"/>
  <c r="D61" i="25"/>
  <c r="D35" i="25"/>
  <c r="D107" i="25"/>
  <c r="D88" i="25"/>
  <c r="D48" i="25"/>
  <c r="D74" i="25"/>
  <c r="D73" i="25"/>
  <c r="D57" i="25"/>
  <c r="D105" i="25"/>
  <c r="D72" i="25"/>
  <c r="D65" i="25"/>
  <c r="D56" i="25"/>
  <c r="D90" i="25"/>
  <c r="D219" i="25"/>
  <c r="D191" i="25"/>
  <c r="D189" i="25"/>
  <c r="D253" i="25"/>
  <c r="D154" i="25"/>
  <c r="D162" i="25"/>
  <c r="D143" i="25"/>
  <c r="D221" i="25"/>
  <c r="D212" i="25"/>
  <c r="D124" i="25"/>
  <c r="D192" i="25"/>
  <c r="D145" i="25"/>
  <c r="D329" i="25"/>
  <c r="D290" i="25"/>
  <c r="D332" i="25"/>
  <c r="D236" i="25"/>
  <c r="D150" i="25"/>
  <c r="D258" i="25"/>
  <c r="D249" i="25"/>
  <c r="D255" i="25"/>
  <c r="D324" i="25"/>
  <c r="D239" i="25"/>
  <c r="D336" i="25"/>
  <c r="D355" i="25"/>
  <c r="D311" i="25"/>
  <c r="D186" i="25"/>
  <c r="D210" i="25"/>
  <c r="D134" i="25"/>
  <c r="A15" i="46"/>
  <c r="D136" i="25"/>
  <c r="D118" i="25"/>
  <c r="D171" i="25"/>
  <c r="D203" i="25"/>
  <c r="D199" i="25"/>
  <c r="D330" i="25"/>
  <c r="D333" i="25"/>
  <c r="D288" i="25"/>
  <c r="D141" i="25"/>
  <c r="D261" i="25"/>
  <c r="D274" i="25"/>
  <c r="D356" i="25"/>
  <c r="D344" i="25"/>
  <c r="D223" i="25"/>
  <c r="D176" i="25"/>
  <c r="D327" i="25"/>
  <c r="D315" i="25"/>
  <c r="D343" i="25"/>
  <c r="D188" i="25"/>
  <c r="D173" i="25"/>
  <c r="D209" i="25"/>
  <c r="D316" i="25"/>
  <c r="D234" i="25"/>
  <c r="D202" i="25"/>
  <c r="D286" i="25"/>
  <c r="D235" i="25"/>
  <c r="D352" i="25"/>
  <c r="D305" i="25"/>
  <c r="D251" i="25"/>
  <c r="D168" i="25"/>
  <c r="D320" i="25"/>
  <c r="D278" i="25"/>
  <c r="D259" i="25"/>
  <c r="D351" i="25"/>
  <c r="D283" i="25"/>
  <c r="D265" i="25"/>
  <c r="D147" i="25"/>
  <c r="D126" i="25"/>
  <c r="D276" i="25"/>
  <c r="D328" i="25"/>
  <c r="D194" i="25"/>
  <c r="D304" i="25"/>
  <c r="D181" i="25"/>
  <c r="D130" i="25"/>
  <c r="D205" i="25"/>
  <c r="D257" i="25"/>
  <c r="D177" i="25"/>
  <c r="D243" i="25"/>
  <c r="D214" i="25"/>
  <c r="D206" i="25"/>
  <c r="J15" i="36"/>
  <c r="D144" i="25"/>
  <c r="D218" i="25"/>
  <c r="D326" i="25"/>
  <c r="D248" i="25"/>
  <c r="D337" i="25"/>
  <c r="D338" i="25"/>
  <c r="D183" i="25"/>
  <c r="D155" i="25"/>
  <c r="D284" i="25"/>
  <c r="D160" i="25"/>
  <c r="D228" i="25"/>
  <c r="D294" i="25"/>
  <c r="D115" i="25"/>
  <c r="D346" i="25"/>
  <c r="D271" i="25"/>
  <c r="D349" i="25"/>
  <c r="D185" i="25"/>
  <c r="D139" i="25"/>
  <c r="D301" i="25"/>
  <c r="D260" i="25"/>
  <c r="D319" i="25"/>
  <c r="D245" i="25"/>
  <c r="D339" i="25"/>
  <c r="D289" i="25"/>
  <c r="D291" i="25"/>
  <c r="D213" i="25"/>
  <c r="D137" i="25"/>
  <c r="D196" i="25"/>
  <c r="D246" i="25"/>
  <c r="D138" i="25"/>
  <c r="D112" i="25"/>
  <c r="D111" i="25"/>
  <c r="D220" i="25"/>
  <c r="D187" i="25"/>
  <c r="D47" i="25"/>
  <c r="D95" i="25"/>
  <c r="D33" i="25"/>
  <c r="D34" i="25"/>
  <c r="D70" i="25"/>
  <c r="D80" i="25"/>
  <c r="D83" i="25"/>
  <c r="D78" i="25"/>
  <c r="D54" i="25"/>
  <c r="D38" i="25"/>
  <c r="D92" i="25"/>
  <c r="J21" i="36"/>
  <c r="D116" i="25"/>
  <c r="D175" i="25"/>
  <c r="D131" i="25"/>
  <c r="D268" i="25"/>
  <c r="D158" i="25"/>
  <c r="D273" i="25"/>
  <c r="D133" i="25"/>
  <c r="D242" i="25"/>
  <c r="D262" i="25"/>
  <c r="D341" i="25"/>
  <c r="D146" i="25"/>
  <c r="D345" i="25"/>
  <c r="D310" i="25"/>
  <c r="D229" i="25"/>
  <c r="D241" i="25"/>
  <c r="D353" i="25"/>
  <c r="D166" i="25"/>
  <c r="D348" i="25"/>
  <c r="D198" i="25"/>
  <c r="D240" i="25"/>
  <c r="D303" i="25"/>
  <c r="D159" i="25"/>
  <c r="D267" i="25"/>
  <c r="D309" i="25"/>
  <c r="D317" i="25"/>
  <c r="D215" i="25"/>
  <c r="D125" i="25"/>
  <c r="D28" i="25"/>
  <c r="N24" i="36"/>
  <c r="E24" i="46" s="1"/>
  <c r="M355" i="25"/>
  <c r="C7" i="44"/>
  <c r="M238" i="25"/>
  <c r="M115" i="25"/>
  <c r="E113" i="41" s="1"/>
  <c r="M107" i="25"/>
  <c r="E105" i="41" s="1"/>
  <c r="M103" i="25"/>
  <c r="E101" i="41" s="1"/>
  <c r="M101" i="25"/>
  <c r="E99" i="41" s="1"/>
  <c r="M85" i="25"/>
  <c r="E83" i="41" s="1"/>
  <c r="M79" i="25"/>
  <c r="E77" i="41" s="1"/>
  <c r="M67" i="25"/>
  <c r="E65" i="41" s="1"/>
  <c r="M316" i="25"/>
  <c r="M233" i="25"/>
  <c r="M221" i="25"/>
  <c r="M337" i="25"/>
  <c r="M228" i="25"/>
  <c r="M193" i="25"/>
  <c r="M37" i="25"/>
  <c r="E35" i="41" s="1"/>
  <c r="M244" i="25"/>
  <c r="M220" i="25"/>
  <c r="M356" i="25"/>
  <c r="M350" i="25"/>
  <c r="H148" i="25"/>
  <c r="M138" i="51" s="1"/>
  <c r="M313" i="25"/>
  <c r="M301" i="25"/>
  <c r="M295" i="25"/>
  <c r="M289" i="25"/>
  <c r="M259" i="25"/>
  <c r="M253" i="25"/>
  <c r="M247" i="25"/>
  <c r="H321" i="25"/>
  <c r="M171" i="25"/>
  <c r="H149" i="25"/>
  <c r="M139" i="51" s="1"/>
  <c r="H287" i="25"/>
  <c r="H354" i="25"/>
  <c r="H336" i="25"/>
  <c r="M333" i="25"/>
  <c r="H330" i="25"/>
  <c r="H174" i="25"/>
  <c r="M164" i="51" s="1"/>
  <c r="M346" i="25"/>
  <c r="M340" i="25"/>
  <c r="H331" i="25"/>
  <c r="H327" i="25"/>
  <c r="M315" i="25"/>
  <c r="H300" i="25"/>
  <c r="H264" i="25"/>
  <c r="M249" i="25"/>
  <c r="H246" i="25"/>
  <c r="H210" i="25"/>
  <c r="H209" i="25"/>
  <c r="H198" i="25"/>
  <c r="M188" i="51" s="1"/>
  <c r="H196" i="25"/>
  <c r="M186" i="51" s="1"/>
  <c r="M354" i="25"/>
  <c r="M299" i="25"/>
  <c r="M287" i="25"/>
  <c r="M275" i="25"/>
  <c r="M269" i="25"/>
  <c r="M239" i="25"/>
  <c r="M232" i="25"/>
  <c r="M353" i="25"/>
  <c r="M341" i="25"/>
  <c r="H339" i="25"/>
  <c r="M323" i="25"/>
  <c r="M310" i="25"/>
  <c r="M304" i="25"/>
  <c r="M286" i="25"/>
  <c r="H284" i="25"/>
  <c r="M280" i="25"/>
  <c r="H278" i="25"/>
  <c r="M274" i="25"/>
  <c r="H272" i="25"/>
  <c r="M268" i="25"/>
  <c r="M262" i="25"/>
  <c r="H259" i="25"/>
  <c r="M256" i="25"/>
  <c r="M250" i="25"/>
  <c r="M206" i="25"/>
  <c r="H203" i="25"/>
  <c r="M165" i="25"/>
  <c r="H150" i="25"/>
  <c r="M140" i="51" s="1"/>
  <c r="H144" i="25"/>
  <c r="M134" i="51" s="1"/>
  <c r="H138" i="25"/>
  <c r="M128" i="51" s="1"/>
  <c r="H132" i="25"/>
  <c r="M122" i="51" s="1"/>
  <c r="M55" i="25"/>
  <c r="E53" i="41" s="1"/>
  <c r="M51" i="25"/>
  <c r="E49" i="41" s="1"/>
  <c r="M49" i="25"/>
  <c r="E47" i="41" s="1"/>
  <c r="M45" i="25"/>
  <c r="E43" i="41" s="1"/>
  <c r="M348" i="25"/>
  <c r="M342" i="25"/>
  <c r="M305" i="25"/>
  <c r="H303" i="25"/>
  <c r="H260" i="25"/>
  <c r="H255" i="25"/>
  <c r="H224" i="25"/>
  <c r="M201" i="25"/>
  <c r="H151" i="25"/>
  <c r="M141" i="51" s="1"/>
  <c r="H145" i="25"/>
  <c r="M135" i="51" s="1"/>
  <c r="H139" i="25"/>
  <c r="M129" i="51" s="1"/>
  <c r="H133" i="25"/>
  <c r="M123" i="51" s="1"/>
  <c r="M331" i="25"/>
  <c r="H315" i="25"/>
  <c r="M306" i="25"/>
  <c r="M282" i="25"/>
  <c r="M276" i="25"/>
  <c r="H273" i="25"/>
  <c r="M240" i="25"/>
  <c r="M214" i="25"/>
  <c r="H205" i="25"/>
  <c r="M174" i="25"/>
  <c r="H159" i="25"/>
  <c r="M149" i="51" s="1"/>
  <c r="H154" i="25"/>
  <c r="M144" i="51" s="1"/>
  <c r="H146" i="25"/>
  <c r="M136" i="51" s="1"/>
  <c r="H140" i="25"/>
  <c r="M130" i="51" s="1"/>
  <c r="M138" i="25"/>
  <c r="H134" i="25"/>
  <c r="M124" i="51" s="1"/>
  <c r="H128" i="25"/>
  <c r="M118" i="51" s="1"/>
  <c r="H123" i="25"/>
  <c r="M113" i="51" s="1"/>
  <c r="H118" i="25"/>
  <c r="M108" i="51" s="1"/>
  <c r="M351" i="25"/>
  <c r="H342" i="25"/>
  <c r="H323" i="25"/>
  <c r="M319" i="25"/>
  <c r="H299" i="25"/>
  <c r="M296" i="25"/>
  <c r="H286" i="25"/>
  <c r="M283" i="25"/>
  <c r="M277" i="25"/>
  <c r="M272" i="25"/>
  <c r="M260" i="25"/>
  <c r="H257" i="25"/>
  <c r="H251" i="25"/>
  <c r="M248" i="25"/>
  <c r="H245" i="25"/>
  <c r="H187" i="25"/>
  <c r="M177" i="51" s="1"/>
  <c r="H186" i="25"/>
  <c r="M176" i="51" s="1"/>
  <c r="H173" i="25"/>
  <c r="M163" i="51" s="1"/>
  <c r="H167" i="25"/>
  <c r="M157" i="51" s="1"/>
  <c r="H165" i="25"/>
  <c r="M155" i="51" s="1"/>
  <c r="H155" i="25"/>
  <c r="M145" i="51" s="1"/>
  <c r="M151" i="25"/>
  <c r="H147" i="25"/>
  <c r="M137" i="51" s="1"/>
  <c r="M139" i="25"/>
  <c r="H119" i="25"/>
  <c r="M109" i="51" s="1"/>
  <c r="M106" i="25"/>
  <c r="E104" i="41" s="1"/>
  <c r="M104" i="25"/>
  <c r="E102" i="41" s="1"/>
  <c r="M102" i="25"/>
  <c r="E100" i="41" s="1"/>
  <c r="M96" i="25"/>
  <c r="E94" i="41" s="1"/>
  <c r="M82" i="25"/>
  <c r="E80" i="41" s="1"/>
  <c r="M76" i="25"/>
  <c r="E74" i="41" s="1"/>
  <c r="M74" i="25"/>
  <c r="E72" i="41" s="1"/>
  <c r="M70" i="25"/>
  <c r="E68" i="41" s="1"/>
  <c r="M58" i="25"/>
  <c r="E56" i="41" s="1"/>
  <c r="M56" i="25"/>
  <c r="E54" i="41" s="1"/>
  <c r="M40" i="25"/>
  <c r="E38" i="41" s="1"/>
  <c r="M38" i="25"/>
  <c r="E36" i="41" s="1"/>
  <c r="M352" i="25"/>
  <c r="M328" i="25"/>
  <c r="H306" i="25"/>
  <c r="H282" i="25"/>
  <c r="H220" i="25"/>
  <c r="M205" i="25"/>
  <c r="H197" i="25"/>
  <c r="M187" i="51" s="1"/>
  <c r="H175" i="25"/>
  <c r="M165" i="51" s="1"/>
  <c r="M164" i="25"/>
  <c r="M134" i="25"/>
  <c r="M343" i="25"/>
  <c r="H340" i="25"/>
  <c r="H332" i="25"/>
  <c r="M322" i="25"/>
  <c r="M314" i="25"/>
  <c r="M307" i="25"/>
  <c r="H304" i="25"/>
  <c r="H296" i="25"/>
  <c r="M292" i="25"/>
  <c r="H288" i="25"/>
  <c r="H269" i="25"/>
  <c r="M265" i="25"/>
  <c r="H261" i="25"/>
  <c r="H234" i="25"/>
  <c r="H228" i="25"/>
  <c r="M226" i="25"/>
  <c r="M225" i="25"/>
  <c r="H213" i="25"/>
  <c r="M211" i="25"/>
  <c r="H160" i="25"/>
  <c r="M150" i="51" s="1"/>
  <c r="H141" i="25"/>
  <c r="M131" i="51" s="1"/>
  <c r="H135" i="25"/>
  <c r="M125" i="51" s="1"/>
  <c r="H129" i="25"/>
  <c r="M119" i="51" s="1"/>
  <c r="H124" i="25"/>
  <c r="M114" i="51" s="1"/>
  <c r="M114" i="25"/>
  <c r="E112" i="41" s="1"/>
  <c r="M112" i="25"/>
  <c r="E110" i="41" s="1"/>
  <c r="M108" i="25"/>
  <c r="E106" i="41" s="1"/>
  <c r="M100" i="25"/>
  <c r="E98" i="41" s="1"/>
  <c r="M94" i="25"/>
  <c r="E92" i="41" s="1"/>
  <c r="M88" i="25"/>
  <c r="E86" i="41" s="1"/>
  <c r="M78" i="25"/>
  <c r="E76" i="41" s="1"/>
  <c r="M64" i="25"/>
  <c r="E62" i="41" s="1"/>
  <c r="M60" i="25"/>
  <c r="E58" i="41" s="1"/>
  <c r="M35" i="25"/>
  <c r="E33" i="41" s="1"/>
  <c r="H115" i="25"/>
  <c r="H113" i="25"/>
  <c r="H111" i="25"/>
  <c r="H109" i="25"/>
  <c r="H107" i="25"/>
  <c r="H105" i="25"/>
  <c r="H103" i="25"/>
  <c r="H101" i="25"/>
  <c r="H99" i="25"/>
  <c r="H97" i="25"/>
  <c r="H348" i="25"/>
  <c r="H341" i="25"/>
  <c r="H333" i="25"/>
  <c r="H318" i="25"/>
  <c r="H312" i="25"/>
  <c r="H305" i="25"/>
  <c r="H297" i="25"/>
  <c r="H289" i="25"/>
  <c r="H270" i="25"/>
  <c r="H262" i="25"/>
  <c r="H242" i="25"/>
  <c r="H229" i="25"/>
  <c r="H223" i="25"/>
  <c r="H214" i="25"/>
  <c r="H208" i="25"/>
  <c r="M192" i="25"/>
  <c r="M183" i="25"/>
  <c r="H181" i="25"/>
  <c r="M171" i="51" s="1"/>
  <c r="H180" i="25"/>
  <c r="M170" i="51" s="1"/>
  <c r="H176" i="25"/>
  <c r="M166" i="51" s="1"/>
  <c r="H168" i="25"/>
  <c r="M158" i="51" s="1"/>
  <c r="H161" i="25"/>
  <c r="M151" i="51" s="1"/>
  <c r="H156" i="25"/>
  <c r="M146" i="51" s="1"/>
  <c r="H142" i="25"/>
  <c r="M132" i="51" s="1"/>
  <c r="H136" i="25"/>
  <c r="M126" i="51" s="1"/>
  <c r="H130" i="25"/>
  <c r="M120" i="51" s="1"/>
  <c r="H125" i="25"/>
  <c r="M115" i="51" s="1"/>
  <c r="H120" i="25"/>
  <c r="M110" i="51" s="1"/>
  <c r="M52" i="25"/>
  <c r="E50" i="41" s="1"/>
  <c r="M46" i="25"/>
  <c r="E44" i="41" s="1"/>
  <c r="M324" i="25"/>
  <c r="H313" i="25"/>
  <c r="H298" i="25"/>
  <c r="H291" i="25"/>
  <c r="H279" i="25"/>
  <c r="H271" i="25"/>
  <c r="H252" i="25"/>
  <c r="H243" i="25"/>
  <c r="H231" i="25"/>
  <c r="H211" i="25"/>
  <c r="H199" i="25"/>
  <c r="M189" i="51" s="1"/>
  <c r="H190" i="25"/>
  <c r="M180" i="51" s="1"/>
  <c r="H169" i="25"/>
  <c r="M159" i="51" s="1"/>
  <c r="H163" i="25"/>
  <c r="M153" i="51" s="1"/>
  <c r="H157" i="25"/>
  <c r="M147" i="51" s="1"/>
  <c r="H143" i="25"/>
  <c r="M133" i="51" s="1"/>
  <c r="H137" i="25"/>
  <c r="M127" i="51" s="1"/>
  <c r="M135" i="25"/>
  <c r="H131" i="25"/>
  <c r="M121" i="51" s="1"/>
  <c r="H126" i="25"/>
  <c r="M116" i="51" s="1"/>
  <c r="H121" i="25"/>
  <c r="M111" i="51" s="1"/>
  <c r="M36" i="25"/>
  <c r="E34" i="41" s="1"/>
  <c r="H351" i="25"/>
  <c r="M349" i="25"/>
  <c r="H345" i="25"/>
  <c r="M332" i="25"/>
  <c r="M325" i="25"/>
  <c r="H322" i="25"/>
  <c r="H314" i="25"/>
  <c r="H309" i="25"/>
  <c r="H292" i="25"/>
  <c r="H280" i="25"/>
  <c r="H265" i="25"/>
  <c r="M255" i="25"/>
  <c r="H253" i="25"/>
  <c r="H244" i="25"/>
  <c r="M235" i="25"/>
  <c r="H226" i="25"/>
  <c r="H225" i="25"/>
  <c r="M223" i="25"/>
  <c r="H218" i="25"/>
  <c r="H217" i="25"/>
  <c r="H212" i="25"/>
  <c r="M202" i="25"/>
  <c r="H184" i="25"/>
  <c r="M174" i="51" s="1"/>
  <c r="H177" i="25"/>
  <c r="M167" i="51" s="1"/>
  <c r="M173" i="25"/>
  <c r="H164" i="25"/>
  <c r="M154" i="51" s="1"/>
  <c r="H152" i="25"/>
  <c r="M142" i="51" s="1"/>
  <c r="M136" i="25"/>
  <c r="H127" i="25"/>
  <c r="M117" i="51" s="1"/>
  <c r="H116" i="25"/>
  <c r="M106" i="51" s="1"/>
  <c r="M334" i="25"/>
  <c r="H324" i="25"/>
  <c r="M298" i="25"/>
  <c r="H294" i="25"/>
  <c r="M284" i="25"/>
  <c r="M271" i="25"/>
  <c r="H267" i="25"/>
  <c r="M257" i="25"/>
  <c r="M224" i="25"/>
  <c r="M209" i="25"/>
  <c r="H206" i="25"/>
  <c r="H194" i="25"/>
  <c r="M184" i="51" s="1"/>
  <c r="H185" i="25"/>
  <c r="M175" i="51" s="1"/>
  <c r="H178" i="25"/>
  <c r="M168" i="51" s="1"/>
  <c r="H172" i="25"/>
  <c r="M162" i="51" s="1"/>
  <c r="H166" i="25"/>
  <c r="M156" i="51" s="1"/>
  <c r="H158" i="25"/>
  <c r="M148" i="51" s="1"/>
  <c r="H153" i="25"/>
  <c r="M143" i="51" s="1"/>
  <c r="M137" i="25"/>
  <c r="H122" i="25"/>
  <c r="M112" i="51" s="1"/>
  <c r="H117" i="25"/>
  <c r="M107" i="51" s="1"/>
  <c r="M113" i="25"/>
  <c r="E111" i="41" s="1"/>
  <c r="M111" i="25"/>
  <c r="E109" i="41" s="1"/>
  <c r="M109" i="25"/>
  <c r="E107" i="41" s="1"/>
  <c r="M99" i="25"/>
  <c r="E97" i="41" s="1"/>
  <c r="M97" i="25"/>
  <c r="E95" i="41" s="1"/>
  <c r="M93" i="25"/>
  <c r="E91" i="41" s="1"/>
  <c r="M91" i="25"/>
  <c r="E89" i="41" s="1"/>
  <c r="M87" i="25"/>
  <c r="E85" i="41" s="1"/>
  <c r="M81" i="25"/>
  <c r="E79" i="41" s="1"/>
  <c r="M77" i="25"/>
  <c r="E75" i="41" s="1"/>
  <c r="M73" i="25"/>
  <c r="E71" i="41" s="1"/>
  <c r="M69" i="25"/>
  <c r="E67" i="41" s="1"/>
  <c r="M63" i="25"/>
  <c r="E61" i="41" s="1"/>
  <c r="M61" i="25"/>
  <c r="E59" i="41" s="1"/>
  <c r="M59" i="25"/>
  <c r="E57" i="41" s="1"/>
  <c r="M43" i="25"/>
  <c r="E41" i="41" s="1"/>
  <c r="D30" i="25"/>
  <c r="F30" i="25"/>
  <c r="F24" i="3"/>
  <c r="O16" i="24" s="1"/>
  <c r="F17" i="3"/>
  <c r="D25" i="25"/>
  <c r="F25" i="25"/>
  <c r="D17" i="25"/>
  <c r="F17" i="25"/>
  <c r="D22" i="25"/>
  <c r="C20" i="36"/>
  <c r="H20" i="36" s="1"/>
  <c r="A20" i="46"/>
  <c r="N20" i="36"/>
  <c r="F20" i="36"/>
  <c r="G20" i="36"/>
  <c r="D20" i="25"/>
  <c r="F20" i="25"/>
  <c r="D21" i="25"/>
  <c r="C19" i="36"/>
  <c r="H19" i="36" s="1"/>
  <c r="N19" i="36"/>
  <c r="A19" i="46"/>
  <c r="F19" i="36"/>
  <c r="D18" i="25"/>
  <c r="D23" i="25"/>
  <c r="F27" i="3"/>
  <c r="O19" i="24" s="1"/>
  <c r="F21" i="3"/>
  <c r="O13" i="24" s="1"/>
  <c r="T13" i="24" s="1"/>
  <c r="C16" i="36"/>
  <c r="H16" i="36" s="1"/>
  <c r="N16" i="36"/>
  <c r="F26" i="3"/>
  <c r="O18" i="24" s="1"/>
  <c r="F20" i="3"/>
  <c r="O12" i="24" s="1"/>
  <c r="D29" i="25"/>
  <c r="C21" i="36"/>
  <c r="H21" i="36" s="1"/>
  <c r="N21" i="36"/>
  <c r="E21" i="46" s="1"/>
  <c r="F21" i="36"/>
  <c r="C15" i="36"/>
  <c r="H15" i="36" s="1"/>
  <c r="N15" i="36"/>
  <c r="D19" i="25"/>
  <c r="D24" i="25"/>
  <c r="F25" i="3"/>
  <c r="O17" i="24" s="1"/>
  <c r="F19" i="3"/>
  <c r="O11" i="24" s="1"/>
  <c r="T11" i="24" s="1"/>
  <c r="C22" i="36"/>
  <c r="H22" i="36" s="1"/>
  <c r="A22" i="46"/>
  <c r="N22" i="36"/>
  <c r="E22" i="46" s="1"/>
  <c r="D26" i="25"/>
  <c r="F26" i="25"/>
  <c r="F23" i="3"/>
  <c r="O15" i="24" s="1"/>
  <c r="D16" i="25"/>
  <c r="C18" i="36"/>
  <c r="H18" i="36" s="1"/>
  <c r="H344" i="25"/>
  <c r="H343" i="25"/>
  <c r="M336" i="25"/>
  <c r="M335" i="25"/>
  <c r="H326" i="25"/>
  <c r="H325" i="25"/>
  <c r="M318" i="25"/>
  <c r="M317" i="25"/>
  <c r="H308" i="25"/>
  <c r="H307" i="25"/>
  <c r="M300" i="25"/>
  <c r="M294" i="25"/>
  <c r="H290" i="25"/>
  <c r="H285" i="25"/>
  <c r="H283" i="25"/>
  <c r="H277" i="25"/>
  <c r="M273" i="25"/>
  <c r="M267" i="25"/>
  <c r="H263" i="25"/>
  <c r="H258" i="25"/>
  <c r="H256" i="25"/>
  <c r="H250" i="25"/>
  <c r="M246" i="25"/>
  <c r="M241" i="25"/>
  <c r="H239" i="25"/>
  <c r="H237" i="25"/>
  <c r="H230" i="25"/>
  <c r="M218" i="25"/>
  <c r="H215" i="25"/>
  <c r="M196" i="25"/>
  <c r="H192" i="25"/>
  <c r="M182" i="51" s="1"/>
  <c r="F18" i="3"/>
  <c r="O10" i="24" s="1"/>
  <c r="T10" i="24" s="1"/>
  <c r="N23" i="36"/>
  <c r="H355" i="25"/>
  <c r="H352" i="25"/>
  <c r="H349" i="25"/>
  <c r="H346" i="25"/>
  <c r="M339" i="25"/>
  <c r="M338" i="25"/>
  <c r="H329" i="25"/>
  <c r="H328" i="25"/>
  <c r="M321" i="25"/>
  <c r="M320" i="25"/>
  <c r="H311" i="25"/>
  <c r="H310" i="25"/>
  <c r="M303" i="25"/>
  <c r="M302" i="25"/>
  <c r="H293" i="25"/>
  <c r="M278" i="25"/>
  <c r="H266" i="25"/>
  <c r="H240" i="25"/>
  <c r="H238" i="25"/>
  <c r="H233" i="25"/>
  <c r="M200" i="25"/>
  <c r="N17" i="36"/>
  <c r="F28" i="3"/>
  <c r="O20" i="24" s="1"/>
  <c r="T20" i="24" s="1"/>
  <c r="F22" i="3"/>
  <c r="O14" i="24" s="1"/>
  <c r="T14" i="24" s="1"/>
  <c r="M345" i="25"/>
  <c r="M344" i="25"/>
  <c r="H335" i="25"/>
  <c r="H334" i="25"/>
  <c r="M327" i="25"/>
  <c r="M326" i="25"/>
  <c r="H317" i="25"/>
  <c r="H316" i="25"/>
  <c r="M309" i="25"/>
  <c r="M308" i="25"/>
  <c r="H275" i="25"/>
  <c r="H248" i="25"/>
  <c r="H241" i="25"/>
  <c r="H219" i="25"/>
  <c r="H188" i="25"/>
  <c r="M178" i="51" s="1"/>
  <c r="D27" i="25"/>
  <c r="N27" i="36"/>
  <c r="M347" i="25"/>
  <c r="H338" i="25"/>
  <c r="H337" i="25"/>
  <c r="M330" i="25"/>
  <c r="M329" i="25"/>
  <c r="H320" i="25"/>
  <c r="H319" i="25"/>
  <c r="M312" i="25"/>
  <c r="M311" i="25"/>
  <c r="H302" i="25"/>
  <c r="H301" i="25"/>
  <c r="H295" i="25"/>
  <c r="M291" i="25"/>
  <c r="M285" i="25"/>
  <c r="H281" i="25"/>
  <c r="H276" i="25"/>
  <c r="H274" i="25"/>
  <c r="H268" i="25"/>
  <c r="M266" i="25"/>
  <c r="M264" i="25"/>
  <c r="M258" i="25"/>
  <c r="H254" i="25"/>
  <c r="H249" i="25"/>
  <c r="H247" i="25"/>
  <c r="H236" i="25"/>
  <c r="M230" i="25"/>
  <c r="H221" i="25"/>
  <c r="M217" i="25"/>
  <c r="M215" i="25"/>
  <c r="H207" i="25"/>
  <c r="H191" i="25"/>
  <c r="M181" i="51" s="1"/>
  <c r="H189" i="25"/>
  <c r="M179" i="51" s="1"/>
  <c r="H235" i="25"/>
  <c r="H232" i="25"/>
  <c r="M229" i="25"/>
  <c r="M227" i="25"/>
  <c r="H222" i="25"/>
  <c r="H216" i="25"/>
  <c r="M208" i="25"/>
  <c r="H200" i="25"/>
  <c r="M190" i="51" s="1"/>
  <c r="H195" i="25"/>
  <c r="M185" i="51" s="1"/>
  <c r="M191" i="25"/>
  <c r="M190" i="25"/>
  <c r="M188" i="25"/>
  <c r="M187" i="25"/>
  <c r="H162" i="25"/>
  <c r="M152" i="51" s="1"/>
  <c r="M133" i="25"/>
  <c r="M132" i="25"/>
  <c r="M131" i="25"/>
  <c r="M130" i="25"/>
  <c r="M129" i="25"/>
  <c r="M128" i="25"/>
  <c r="H201" i="25"/>
  <c r="M191" i="51" s="1"/>
  <c r="H183" i="25"/>
  <c r="M173" i="51" s="1"/>
  <c r="M181" i="25"/>
  <c r="M180" i="25"/>
  <c r="M179" i="25"/>
  <c r="M178" i="25"/>
  <c r="M177" i="25"/>
  <c r="H171" i="25"/>
  <c r="M161" i="51" s="1"/>
  <c r="M169" i="25"/>
  <c r="M168" i="25"/>
  <c r="M161" i="25"/>
  <c r="M160" i="25"/>
  <c r="M159" i="25"/>
  <c r="M158" i="25"/>
  <c r="M127" i="25"/>
  <c r="M126" i="25"/>
  <c r="M125" i="25"/>
  <c r="M124" i="25"/>
  <c r="M123" i="25"/>
  <c r="M122" i="25"/>
  <c r="H204" i="25"/>
  <c r="M199" i="25"/>
  <c r="M197" i="25"/>
  <c r="M186" i="25"/>
  <c r="M185" i="25"/>
  <c r="M184" i="25"/>
  <c r="M182" i="25"/>
  <c r="M176" i="25"/>
  <c r="M175" i="25"/>
  <c r="M172" i="25"/>
  <c r="M170" i="25"/>
  <c r="M167" i="25"/>
  <c r="M166" i="25"/>
  <c r="M163" i="25"/>
  <c r="M162" i="25"/>
  <c r="M157" i="25"/>
  <c r="M156" i="25"/>
  <c r="M155" i="25"/>
  <c r="M154" i="25"/>
  <c r="M153" i="25"/>
  <c r="M152" i="25"/>
  <c r="M121" i="25"/>
  <c r="M120" i="25"/>
  <c r="M119" i="25"/>
  <c r="M118" i="25"/>
  <c r="M117" i="25"/>
  <c r="M116" i="25"/>
  <c r="H179" i="25"/>
  <c r="M169" i="51" s="1"/>
  <c r="M150" i="25"/>
  <c r="M149" i="25"/>
  <c r="M148" i="25"/>
  <c r="M147" i="25"/>
  <c r="M146" i="25"/>
  <c r="H182" i="25"/>
  <c r="M172" i="51" s="1"/>
  <c r="H170" i="25"/>
  <c r="M160" i="51" s="1"/>
  <c r="M145" i="25"/>
  <c r="M144" i="25"/>
  <c r="M143" i="25"/>
  <c r="M142" i="25"/>
  <c r="M141" i="25"/>
  <c r="M140" i="25"/>
  <c r="M98" i="25"/>
  <c r="E96" i="41" s="1"/>
  <c r="M95" i="25"/>
  <c r="E93" i="41" s="1"/>
  <c r="M86" i="25"/>
  <c r="E84" i="41" s="1"/>
  <c r="M84" i="25"/>
  <c r="E82" i="41" s="1"/>
  <c r="M72" i="25"/>
  <c r="E70" i="41" s="1"/>
  <c r="M65" i="25"/>
  <c r="E63" i="41" s="1"/>
  <c r="M53" i="25"/>
  <c r="E51" i="41" s="1"/>
  <c r="M44" i="25"/>
  <c r="E42" i="41" s="1"/>
  <c r="M42" i="25"/>
  <c r="E40" i="41" s="1"/>
  <c r="M39" i="25"/>
  <c r="E37" i="41" s="1"/>
  <c r="H114" i="25"/>
  <c r="H112" i="25"/>
  <c r="H110" i="25"/>
  <c r="H108" i="25"/>
  <c r="H106" i="25"/>
  <c r="H104" i="25"/>
  <c r="H102" i="25"/>
  <c r="H100" i="25"/>
  <c r="H94" i="25"/>
  <c r="H88" i="25"/>
  <c r="H82" i="25"/>
  <c r="H76" i="25"/>
  <c r="H70" i="25"/>
  <c r="H64" i="25"/>
  <c r="H58" i="25"/>
  <c r="H52" i="25"/>
  <c r="H46" i="25"/>
  <c r="H40" i="25"/>
  <c r="M89" i="25"/>
  <c r="E87" i="41" s="1"/>
  <c r="M80" i="25"/>
  <c r="E78" i="41" s="1"/>
  <c r="M68" i="25"/>
  <c r="E66" i="41" s="1"/>
  <c r="M66" i="25"/>
  <c r="E64" i="41" s="1"/>
  <c r="M54" i="25"/>
  <c r="E52" i="41" s="1"/>
  <c r="M47" i="25"/>
  <c r="E45" i="41" s="1"/>
  <c r="H91" i="25"/>
  <c r="H85" i="25"/>
  <c r="H79" i="25"/>
  <c r="H73" i="25"/>
  <c r="H67" i="25"/>
  <c r="H61" i="25"/>
  <c r="H55" i="25"/>
  <c r="H49" i="25"/>
  <c r="H43" i="25"/>
  <c r="H37" i="25"/>
  <c r="M110" i="25"/>
  <c r="E108" i="41" s="1"/>
  <c r="M92" i="25"/>
  <c r="E90" i="41" s="1"/>
  <c r="M90" i="25"/>
  <c r="E88" i="41" s="1"/>
  <c r="M83" i="25"/>
  <c r="E81" i="41" s="1"/>
  <c r="M71" i="25"/>
  <c r="E69" i="41" s="1"/>
  <c r="M62" i="25"/>
  <c r="E60" i="41" s="1"/>
  <c r="M50" i="25"/>
  <c r="E48" i="41" s="1"/>
  <c r="M48" i="25"/>
  <c r="E46" i="41" s="1"/>
  <c r="M41" i="25"/>
  <c r="E39" i="41" s="1"/>
  <c r="V6" i="25"/>
  <c r="T6" i="25"/>
  <c r="U6" i="25"/>
  <c r="H356" i="25"/>
  <c r="H353" i="25"/>
  <c r="H350" i="25"/>
  <c r="F5" i="3"/>
  <c r="H347" i="25"/>
  <c r="M251" i="25"/>
  <c r="M242" i="25"/>
  <c r="M237" i="25"/>
  <c r="M234" i="25"/>
  <c r="H227" i="25"/>
  <c r="M293" i="25"/>
  <c r="M219" i="25"/>
  <c r="M216" i="25"/>
  <c r="M207" i="25"/>
  <c r="M203" i="25"/>
  <c r="H202" i="25"/>
  <c r="M297" i="25"/>
  <c r="M288" i="25"/>
  <c r="M279" i="25"/>
  <c r="M270" i="25"/>
  <c r="M261" i="25"/>
  <c r="M252" i="25"/>
  <c r="M243" i="25"/>
  <c r="M236" i="25"/>
  <c r="M210" i="25"/>
  <c r="M198" i="25"/>
  <c r="M194" i="25"/>
  <c r="H193" i="25"/>
  <c r="M183" i="51" s="1"/>
  <c r="M290" i="25"/>
  <c r="M281" i="25"/>
  <c r="M263" i="25"/>
  <c r="M254" i="25"/>
  <c r="M245" i="25"/>
  <c r="M189" i="25"/>
  <c r="M231" i="25"/>
  <c r="M222" i="25"/>
  <c r="M213" i="25"/>
  <c r="M204" i="25"/>
  <c r="M195" i="25"/>
  <c r="M105" i="25"/>
  <c r="M75" i="25"/>
  <c r="E73" i="41" s="1"/>
  <c r="M57" i="25"/>
  <c r="H98" i="25"/>
  <c r="H95" i="25"/>
  <c r="H92" i="25"/>
  <c r="H89" i="25"/>
  <c r="H86" i="25"/>
  <c r="H83" i="25"/>
  <c r="H80" i="25"/>
  <c r="H77" i="25"/>
  <c r="H74" i="25"/>
  <c r="H71" i="25"/>
  <c r="H68" i="25"/>
  <c r="H65" i="25"/>
  <c r="H62" i="25"/>
  <c r="H59" i="25"/>
  <c r="H56" i="25"/>
  <c r="H53" i="25"/>
  <c r="H50" i="25"/>
  <c r="H47" i="25"/>
  <c r="H44" i="25"/>
  <c r="H41" i="25"/>
  <c r="H38" i="25"/>
  <c r="H35" i="25"/>
  <c r="H96" i="25"/>
  <c r="H93" i="25"/>
  <c r="H90" i="25"/>
  <c r="H87" i="25"/>
  <c r="H84" i="25"/>
  <c r="H81" i="25"/>
  <c r="H78" i="25"/>
  <c r="H75" i="25"/>
  <c r="H72" i="25"/>
  <c r="H69" i="25"/>
  <c r="H66" i="25"/>
  <c r="H63" i="25"/>
  <c r="H60" i="25"/>
  <c r="H57" i="25"/>
  <c r="H54" i="25"/>
  <c r="H51" i="25"/>
  <c r="H48" i="25"/>
  <c r="H45" i="25"/>
  <c r="H42" i="25"/>
  <c r="H39" i="25"/>
  <c r="H36" i="25"/>
  <c r="L14" i="25" l="1"/>
  <c r="L11" i="25" s="1"/>
  <c r="L13" i="25" s="1"/>
  <c r="D25" i="46"/>
  <c r="I33" i="25"/>
  <c r="K29" i="25"/>
  <c r="I34" i="25"/>
  <c r="K34" i="25"/>
  <c r="E31" i="46"/>
  <c r="P31" i="36"/>
  <c r="M79" i="51"/>
  <c r="Q79" i="51" s="1"/>
  <c r="S87" i="41" s="1"/>
  <c r="M84" i="51"/>
  <c r="O84" i="51" s="1"/>
  <c r="I92" i="41" s="1"/>
  <c r="M83" i="51"/>
  <c r="O83" i="51" s="1"/>
  <c r="I91" i="41" s="1"/>
  <c r="M63" i="51"/>
  <c r="Q63" i="51" s="1"/>
  <c r="S71" i="41" s="1"/>
  <c r="M98" i="51"/>
  <c r="O98" i="51" s="1"/>
  <c r="I106" i="41" s="1"/>
  <c r="M105" i="51"/>
  <c r="P105" i="51" s="1"/>
  <c r="N113" i="41" s="1"/>
  <c r="M29" i="51"/>
  <c r="Q29" i="51" s="1"/>
  <c r="S37" i="41" s="1"/>
  <c r="M65" i="51"/>
  <c r="O65" i="51" s="1"/>
  <c r="I73" i="41" s="1"/>
  <c r="M37" i="51"/>
  <c r="Q37" i="51" s="1"/>
  <c r="S45" i="41" s="1"/>
  <c r="M73" i="51"/>
  <c r="R73" i="51" s="1"/>
  <c r="Z81" i="41" s="1"/>
  <c r="M27" i="51"/>
  <c r="O27" i="51" s="1"/>
  <c r="I35" i="41" s="1"/>
  <c r="M72" i="51"/>
  <c r="Q72" i="51" s="1"/>
  <c r="S80" i="41" s="1"/>
  <c r="M93" i="51"/>
  <c r="P93" i="51" s="1"/>
  <c r="N101" i="41" s="1"/>
  <c r="M55" i="51"/>
  <c r="Q55" i="51" s="1"/>
  <c r="S63" i="41" s="1"/>
  <c r="M36" i="51"/>
  <c r="P36" i="51" s="1"/>
  <c r="N44" i="41" s="1"/>
  <c r="M50" i="51"/>
  <c r="Q50" i="51" s="1"/>
  <c r="S58" i="41" s="1"/>
  <c r="M69" i="51"/>
  <c r="O69" i="51" s="1"/>
  <c r="I77" i="41" s="1"/>
  <c r="M25" i="51"/>
  <c r="Q25" i="51" s="1"/>
  <c r="S33" i="41" s="1"/>
  <c r="M75" i="51"/>
  <c r="O75" i="51" s="1"/>
  <c r="I83" i="41" s="1"/>
  <c r="M100" i="51"/>
  <c r="P100" i="51" s="1"/>
  <c r="N108" i="41" s="1"/>
  <c r="M32" i="51"/>
  <c r="O32" i="51" s="1"/>
  <c r="I40" i="41" s="1"/>
  <c r="M68" i="51"/>
  <c r="O68" i="51" s="1"/>
  <c r="I76" i="41" s="1"/>
  <c r="M40" i="51"/>
  <c r="R40" i="51" s="1"/>
  <c r="Z48" i="41" s="1"/>
  <c r="M76" i="51"/>
  <c r="R76" i="51" s="1"/>
  <c r="Z84" i="41" s="1"/>
  <c r="M33" i="51"/>
  <c r="O33" i="51" s="1"/>
  <c r="I41" i="41" s="1"/>
  <c r="M78" i="51"/>
  <c r="P78" i="51" s="1"/>
  <c r="N86" i="41" s="1"/>
  <c r="M43" i="51"/>
  <c r="O43" i="51" s="1"/>
  <c r="I51" i="41" s="1"/>
  <c r="M87" i="51"/>
  <c r="R87" i="51" s="1"/>
  <c r="Z95" i="41" s="1"/>
  <c r="M38" i="51"/>
  <c r="O38" i="51" s="1"/>
  <c r="I46" i="41" s="1"/>
  <c r="M82" i="51"/>
  <c r="R82" i="51" s="1"/>
  <c r="Z90" i="41" s="1"/>
  <c r="M89" i="51"/>
  <c r="Q89" i="51" s="1"/>
  <c r="S97" i="41" s="1"/>
  <c r="M74" i="51"/>
  <c r="O74" i="51" s="1"/>
  <c r="I82" i="41" s="1"/>
  <c r="M46" i="51"/>
  <c r="O46" i="51" s="1"/>
  <c r="I54" i="41" s="1"/>
  <c r="M45" i="51"/>
  <c r="Q45" i="51" s="1"/>
  <c r="S53" i="41" s="1"/>
  <c r="M90" i="51"/>
  <c r="Q90" i="51" s="1"/>
  <c r="S98" i="41" s="1"/>
  <c r="M41" i="51"/>
  <c r="R41" i="51" s="1"/>
  <c r="Z49" i="41" s="1"/>
  <c r="M77" i="51"/>
  <c r="Q77" i="51" s="1"/>
  <c r="S85" i="41" s="1"/>
  <c r="M49" i="51"/>
  <c r="O49" i="51" s="1"/>
  <c r="I57" i="41" s="1"/>
  <c r="M85" i="51"/>
  <c r="O85" i="51" s="1"/>
  <c r="I93" i="41" s="1"/>
  <c r="M51" i="51"/>
  <c r="R51" i="51" s="1"/>
  <c r="Z59" i="41" s="1"/>
  <c r="M92" i="51"/>
  <c r="O92" i="51" s="1"/>
  <c r="I100" i="41" s="1"/>
  <c r="M91" i="51"/>
  <c r="O91" i="51" s="1"/>
  <c r="I99" i="41" s="1"/>
  <c r="D31" i="41"/>
  <c r="M35" i="51"/>
  <c r="P35" i="51" s="1"/>
  <c r="N43" i="41" s="1"/>
  <c r="M39" i="51"/>
  <c r="Q39" i="51" s="1"/>
  <c r="S47" i="41" s="1"/>
  <c r="M30" i="51"/>
  <c r="O30" i="51" s="1"/>
  <c r="I38" i="41" s="1"/>
  <c r="M44" i="51"/>
  <c r="O44" i="51" s="1"/>
  <c r="I52" i="41" s="1"/>
  <c r="M88" i="51"/>
  <c r="O88" i="51" s="1"/>
  <c r="I96" i="41" s="1"/>
  <c r="M57" i="51"/>
  <c r="P57" i="51" s="1"/>
  <c r="N65" i="41" s="1"/>
  <c r="M47" i="51"/>
  <c r="O47" i="51" s="1"/>
  <c r="I55" i="41" s="1"/>
  <c r="M96" i="51"/>
  <c r="O96" i="51" s="1"/>
  <c r="I104" i="41" s="1"/>
  <c r="M95" i="51"/>
  <c r="Q95" i="51" s="1"/>
  <c r="S103" i="41" s="1"/>
  <c r="D41" i="48"/>
  <c r="E35" i="3"/>
  <c r="M86" i="51"/>
  <c r="P86" i="51" s="1"/>
  <c r="N94" i="41" s="1"/>
  <c r="D32" i="41"/>
  <c r="M52" i="51"/>
  <c r="P52" i="51" s="1"/>
  <c r="N60" i="41" s="1"/>
  <c r="M97" i="51"/>
  <c r="R97" i="51" s="1"/>
  <c r="Z105" i="41" s="1"/>
  <c r="M71" i="51"/>
  <c r="Q71" i="51" s="1"/>
  <c r="S79" i="41" s="1"/>
  <c r="M58" i="51"/>
  <c r="O58" i="51" s="1"/>
  <c r="I66" i="41" s="1"/>
  <c r="M42" i="51"/>
  <c r="R42" i="51" s="1"/>
  <c r="Z50" i="41" s="1"/>
  <c r="M61" i="51"/>
  <c r="O61" i="51" s="1"/>
  <c r="I69" i="41" s="1"/>
  <c r="M48" i="51"/>
  <c r="R48" i="51" s="1"/>
  <c r="Z56" i="41" s="1"/>
  <c r="M64" i="51"/>
  <c r="Q64" i="51" s="1"/>
  <c r="S72" i="41" s="1"/>
  <c r="E31" i="36"/>
  <c r="M80" i="51"/>
  <c r="O80" i="51" s="1"/>
  <c r="I88" i="41" s="1"/>
  <c r="M94" i="51"/>
  <c r="O94" i="51" s="1"/>
  <c r="I102" i="41" s="1"/>
  <c r="M56" i="51"/>
  <c r="R56" i="51" s="1"/>
  <c r="Z64" i="41" s="1"/>
  <c r="M28" i="51"/>
  <c r="Q28" i="51" s="1"/>
  <c r="S36" i="41" s="1"/>
  <c r="M81" i="51"/>
  <c r="O81" i="51" s="1"/>
  <c r="I89" i="41" s="1"/>
  <c r="M54" i="51"/>
  <c r="R54" i="51" s="1"/>
  <c r="Z62" i="41" s="1"/>
  <c r="M102" i="51"/>
  <c r="P102" i="51" s="1"/>
  <c r="N110" i="41" s="1"/>
  <c r="M101" i="51"/>
  <c r="R101" i="51" s="1"/>
  <c r="Z109" i="41" s="1"/>
  <c r="M59" i="51"/>
  <c r="P59" i="51" s="1"/>
  <c r="N67" i="41" s="1"/>
  <c r="M31" i="51"/>
  <c r="R31" i="51" s="1"/>
  <c r="Z39" i="41" s="1"/>
  <c r="M67" i="51"/>
  <c r="O67" i="51" s="1"/>
  <c r="I75" i="41" s="1"/>
  <c r="M60" i="51"/>
  <c r="P60" i="51" s="1"/>
  <c r="N68" i="41" s="1"/>
  <c r="M104" i="51"/>
  <c r="P104" i="51" s="1"/>
  <c r="N112" i="41" s="1"/>
  <c r="M103" i="51"/>
  <c r="O103" i="51" s="1"/>
  <c r="I111" i="41" s="1"/>
  <c r="E30" i="36"/>
  <c r="M53" i="51"/>
  <c r="R53" i="51" s="1"/>
  <c r="Z61" i="41" s="1"/>
  <c r="M99" i="51"/>
  <c r="P99" i="51" s="1"/>
  <c r="N107" i="41" s="1"/>
  <c r="M26" i="51"/>
  <c r="R26" i="51" s="1"/>
  <c r="Z34" i="41" s="1"/>
  <c r="M62" i="51"/>
  <c r="R62" i="51" s="1"/>
  <c r="Z70" i="41" s="1"/>
  <c r="M34" i="51"/>
  <c r="O34" i="51" s="1"/>
  <c r="I42" i="41" s="1"/>
  <c r="M70" i="51"/>
  <c r="O70" i="51" s="1"/>
  <c r="I78" i="41" s="1"/>
  <c r="M66" i="51"/>
  <c r="P66" i="51" s="1"/>
  <c r="N74" i="41" s="1"/>
  <c r="E30" i="46"/>
  <c r="P30" i="36"/>
  <c r="D40" i="48"/>
  <c r="J33" i="25"/>
  <c r="K33" i="25"/>
  <c r="P14" i="36"/>
  <c r="K31" i="25"/>
  <c r="I31" i="25"/>
  <c r="E29" i="36"/>
  <c r="I32" i="25"/>
  <c r="E29" i="46"/>
  <c r="I28" i="25"/>
  <c r="D39" i="48"/>
  <c r="E33" i="3"/>
  <c r="E28" i="46"/>
  <c r="D38" i="48"/>
  <c r="E32" i="3"/>
  <c r="D29" i="41"/>
  <c r="C103" i="46"/>
  <c r="D103" i="46"/>
  <c r="D87" i="46"/>
  <c r="C87" i="46"/>
  <c r="D84" i="46"/>
  <c r="C84" i="46"/>
  <c r="D91" i="46"/>
  <c r="C91" i="46"/>
  <c r="C77" i="46"/>
  <c r="D77" i="46"/>
  <c r="C94" i="46"/>
  <c r="D94" i="46"/>
  <c r="D96" i="46"/>
  <c r="C96" i="46"/>
  <c r="D67" i="46"/>
  <c r="C67" i="46"/>
  <c r="C72" i="46"/>
  <c r="D72" i="46"/>
  <c r="C101" i="46"/>
  <c r="D101" i="46"/>
  <c r="C71" i="46"/>
  <c r="D71" i="46"/>
  <c r="C109" i="46"/>
  <c r="D109" i="46"/>
  <c r="D81" i="46"/>
  <c r="C81" i="46"/>
  <c r="D69" i="46"/>
  <c r="C69" i="46"/>
  <c r="C89" i="46"/>
  <c r="D89" i="46"/>
  <c r="D92" i="46"/>
  <c r="C92" i="46"/>
  <c r="C74" i="46"/>
  <c r="D74" i="46"/>
  <c r="D80" i="46"/>
  <c r="C80" i="46"/>
  <c r="D105" i="46"/>
  <c r="C105" i="46"/>
  <c r="D95" i="46"/>
  <c r="C95" i="46"/>
  <c r="D93" i="46"/>
  <c r="C93" i="46"/>
  <c r="C98" i="46"/>
  <c r="D98" i="46"/>
  <c r="C70" i="46"/>
  <c r="D70" i="46"/>
  <c r="C99" i="46"/>
  <c r="D99" i="46"/>
  <c r="D73" i="46"/>
  <c r="C73" i="46"/>
  <c r="C106" i="46"/>
  <c r="D106" i="46"/>
  <c r="C68" i="46"/>
  <c r="D68" i="46"/>
  <c r="F27" i="47"/>
  <c r="C82" i="46"/>
  <c r="D82" i="46"/>
  <c r="C107" i="46"/>
  <c r="D107" i="46"/>
  <c r="D110" i="46"/>
  <c r="C110" i="46"/>
  <c r="C112" i="46"/>
  <c r="D112" i="46"/>
  <c r="D100" i="46"/>
  <c r="C100" i="46"/>
  <c r="D104" i="46"/>
  <c r="C104" i="46"/>
  <c r="D79" i="46"/>
  <c r="C79" i="46"/>
  <c r="C75" i="46"/>
  <c r="D75" i="46"/>
  <c r="D97" i="46"/>
  <c r="C97" i="46"/>
  <c r="D102" i="46"/>
  <c r="C102" i="46"/>
  <c r="C88" i="46"/>
  <c r="D88" i="46"/>
  <c r="F26" i="1"/>
  <c r="F25" i="1" s="1"/>
  <c r="D83" i="46"/>
  <c r="C83" i="46"/>
  <c r="D90" i="46"/>
  <c r="C90" i="46"/>
  <c r="D108" i="46"/>
  <c r="C108" i="46"/>
  <c r="D86" i="46"/>
  <c r="C86" i="46"/>
  <c r="D111" i="46"/>
  <c r="C111" i="46"/>
  <c r="C78" i="46"/>
  <c r="D78" i="46"/>
  <c r="C85" i="46"/>
  <c r="D85" i="46"/>
  <c r="F26" i="47"/>
  <c r="C76" i="46"/>
  <c r="D76" i="46"/>
  <c r="F15" i="3"/>
  <c r="R176" i="51"/>
  <c r="O176" i="51"/>
  <c r="P176" i="51"/>
  <c r="Q176" i="51"/>
  <c r="R144" i="51"/>
  <c r="O144" i="51"/>
  <c r="Q144" i="51"/>
  <c r="P144" i="51"/>
  <c r="R164" i="51"/>
  <c r="O164" i="51"/>
  <c r="P164" i="51"/>
  <c r="Q164" i="51"/>
  <c r="P143" i="51"/>
  <c r="O143" i="51"/>
  <c r="Q143" i="51"/>
  <c r="R143" i="51"/>
  <c r="O162" i="51"/>
  <c r="R162" i="51"/>
  <c r="P162" i="51"/>
  <c r="Q162" i="51"/>
  <c r="O116" i="51"/>
  <c r="Q116" i="51"/>
  <c r="P116" i="51"/>
  <c r="R116" i="51"/>
  <c r="O120" i="51"/>
  <c r="Q120" i="51"/>
  <c r="P120" i="51"/>
  <c r="R120" i="51"/>
  <c r="P137" i="51"/>
  <c r="O137" i="51"/>
  <c r="Q137" i="51"/>
  <c r="R137" i="51"/>
  <c r="Q113" i="51"/>
  <c r="O113" i="51"/>
  <c r="P113" i="51"/>
  <c r="R113" i="51"/>
  <c r="R123" i="51"/>
  <c r="O123" i="51"/>
  <c r="P123" i="51"/>
  <c r="Q123" i="51"/>
  <c r="O134" i="51"/>
  <c r="R134" i="51"/>
  <c r="Q134" i="51"/>
  <c r="P134" i="51"/>
  <c r="O188" i="51"/>
  <c r="R188" i="51"/>
  <c r="Q188" i="51"/>
  <c r="P188" i="51"/>
  <c r="O139" i="51"/>
  <c r="P139" i="51"/>
  <c r="Q139" i="51"/>
  <c r="R139" i="51"/>
  <c r="O161" i="51"/>
  <c r="R161" i="51"/>
  <c r="P161" i="51"/>
  <c r="Q161" i="51"/>
  <c r="Q173" i="51"/>
  <c r="O173" i="51"/>
  <c r="R173" i="51"/>
  <c r="P173" i="51"/>
  <c r="Q112" i="51"/>
  <c r="O112" i="51"/>
  <c r="R112" i="51"/>
  <c r="P112" i="51"/>
  <c r="P168" i="51"/>
  <c r="O168" i="51"/>
  <c r="R168" i="51"/>
  <c r="Q168" i="51"/>
  <c r="R142" i="51"/>
  <c r="O142" i="51"/>
  <c r="Q142" i="51"/>
  <c r="P142" i="51"/>
  <c r="O121" i="51"/>
  <c r="Q121" i="51"/>
  <c r="P121" i="51"/>
  <c r="R121" i="51"/>
  <c r="P159" i="51"/>
  <c r="O159" i="51"/>
  <c r="Q159" i="51"/>
  <c r="R159" i="51"/>
  <c r="R126" i="51"/>
  <c r="O126" i="51"/>
  <c r="Q126" i="51"/>
  <c r="P126" i="51"/>
  <c r="O170" i="51"/>
  <c r="Q170" i="51"/>
  <c r="R170" i="51"/>
  <c r="P170" i="51"/>
  <c r="O125" i="51"/>
  <c r="Q125" i="51"/>
  <c r="R125" i="51"/>
  <c r="P125" i="51"/>
  <c r="R165" i="51"/>
  <c r="O165" i="51"/>
  <c r="Q165" i="51"/>
  <c r="P165" i="51"/>
  <c r="Q177" i="51"/>
  <c r="O177" i="51"/>
  <c r="R177" i="51"/>
  <c r="P177" i="51"/>
  <c r="O118" i="51"/>
  <c r="R118" i="51"/>
  <c r="Q118" i="51"/>
  <c r="P118" i="51"/>
  <c r="O149" i="51"/>
  <c r="Q149" i="51"/>
  <c r="P149" i="51"/>
  <c r="R149" i="51"/>
  <c r="O129" i="51"/>
  <c r="R129" i="51"/>
  <c r="Q129" i="51"/>
  <c r="P129" i="51"/>
  <c r="Q140" i="51"/>
  <c r="R140" i="51"/>
  <c r="O140" i="51"/>
  <c r="P140" i="51"/>
  <c r="P172" i="51"/>
  <c r="Q172" i="51"/>
  <c r="O172" i="51"/>
  <c r="R172" i="51"/>
  <c r="O146" i="51"/>
  <c r="P146" i="51"/>
  <c r="R146" i="51"/>
  <c r="Q146" i="51"/>
  <c r="R150" i="51"/>
  <c r="O150" i="51"/>
  <c r="P150" i="51"/>
  <c r="Q150" i="51"/>
  <c r="O155" i="51"/>
  <c r="P155" i="51"/>
  <c r="R155" i="51"/>
  <c r="Q155" i="51"/>
  <c r="O181" i="51"/>
  <c r="P181" i="51"/>
  <c r="Q181" i="51"/>
  <c r="R181" i="51"/>
  <c r="P107" i="51"/>
  <c r="O107" i="51"/>
  <c r="Q107" i="51"/>
  <c r="R107" i="51"/>
  <c r="O153" i="51"/>
  <c r="P153" i="51"/>
  <c r="R153" i="51"/>
  <c r="Q153" i="51"/>
  <c r="P166" i="51"/>
  <c r="R166" i="51"/>
  <c r="O166" i="51"/>
  <c r="Q166" i="51"/>
  <c r="O119" i="51"/>
  <c r="Q119" i="51"/>
  <c r="P119" i="51"/>
  <c r="R119" i="51"/>
  <c r="O160" i="51"/>
  <c r="Q160" i="51"/>
  <c r="P160" i="51"/>
  <c r="R160" i="51"/>
  <c r="Q191" i="51"/>
  <c r="O191" i="51"/>
  <c r="R191" i="51"/>
  <c r="P191" i="51"/>
  <c r="R185" i="51"/>
  <c r="O185" i="51"/>
  <c r="P185" i="51"/>
  <c r="Q185" i="51"/>
  <c r="O182" i="51"/>
  <c r="P182" i="51"/>
  <c r="Q182" i="51"/>
  <c r="R182" i="51"/>
  <c r="O175" i="51"/>
  <c r="P175" i="51"/>
  <c r="Q175" i="51"/>
  <c r="R175" i="51"/>
  <c r="O154" i="51"/>
  <c r="Q154" i="51"/>
  <c r="P154" i="51"/>
  <c r="R154" i="51"/>
  <c r="Q180" i="51"/>
  <c r="O180" i="51"/>
  <c r="R180" i="51"/>
  <c r="P180" i="51"/>
  <c r="O132" i="51"/>
  <c r="Q132" i="51"/>
  <c r="R132" i="51"/>
  <c r="P132" i="51"/>
  <c r="O171" i="51"/>
  <c r="Q171" i="51"/>
  <c r="R171" i="51"/>
  <c r="P171" i="51"/>
  <c r="O131" i="51"/>
  <c r="P131" i="51"/>
  <c r="R131" i="51"/>
  <c r="Q131" i="51"/>
  <c r="O187" i="51"/>
  <c r="P187" i="51"/>
  <c r="Q187" i="51"/>
  <c r="R187" i="51"/>
  <c r="O145" i="51"/>
  <c r="Q145" i="51"/>
  <c r="R145" i="51"/>
  <c r="P145" i="51"/>
  <c r="O124" i="51"/>
  <c r="Q124" i="51"/>
  <c r="R124" i="51"/>
  <c r="P124" i="51"/>
  <c r="R135" i="51"/>
  <c r="P135" i="51"/>
  <c r="O135" i="51"/>
  <c r="Q135" i="51"/>
  <c r="O190" i="51"/>
  <c r="P190" i="51"/>
  <c r="Q190" i="51"/>
  <c r="R190" i="51"/>
  <c r="O178" i="51"/>
  <c r="Q178" i="51"/>
  <c r="R178" i="51"/>
  <c r="P178" i="51"/>
  <c r="O141" i="51"/>
  <c r="R141" i="51"/>
  <c r="Q141" i="51"/>
  <c r="P141" i="51"/>
  <c r="R152" i="51"/>
  <c r="O152" i="51"/>
  <c r="Q152" i="51"/>
  <c r="P152" i="51"/>
  <c r="O184" i="51"/>
  <c r="P184" i="51"/>
  <c r="Q184" i="51"/>
  <c r="R184" i="51"/>
  <c r="R189" i="51"/>
  <c r="O189" i="51"/>
  <c r="Q189" i="51"/>
  <c r="P189" i="51"/>
  <c r="O167" i="51"/>
  <c r="R167" i="51"/>
  <c r="P167" i="51"/>
  <c r="Q167" i="51"/>
  <c r="P151" i="51"/>
  <c r="O151" i="51"/>
  <c r="Q151" i="51"/>
  <c r="R151" i="51"/>
  <c r="O109" i="51"/>
  <c r="R109" i="51"/>
  <c r="Q109" i="51"/>
  <c r="P109" i="51"/>
  <c r="O130" i="51"/>
  <c r="Q130" i="51"/>
  <c r="R130" i="51"/>
  <c r="P130" i="51"/>
  <c r="R169" i="51"/>
  <c r="O169" i="51"/>
  <c r="P169" i="51"/>
  <c r="Q169" i="51"/>
  <c r="Q127" i="51"/>
  <c r="O127" i="51"/>
  <c r="P127" i="51"/>
  <c r="R127" i="51"/>
  <c r="O148" i="51"/>
  <c r="Q148" i="51"/>
  <c r="R148" i="51"/>
  <c r="P148" i="51"/>
  <c r="O106" i="51"/>
  <c r="R106" i="51"/>
  <c r="P106" i="51"/>
  <c r="Q106" i="51"/>
  <c r="O133" i="51"/>
  <c r="Q133" i="51"/>
  <c r="P133" i="51"/>
  <c r="R133" i="51"/>
  <c r="O110" i="51"/>
  <c r="R110" i="51"/>
  <c r="P110" i="51"/>
  <c r="Q110" i="51"/>
  <c r="R157" i="51"/>
  <c r="P157" i="51"/>
  <c r="O157" i="51"/>
  <c r="Q157" i="51"/>
  <c r="O122" i="51"/>
  <c r="Q122" i="51"/>
  <c r="R122" i="51"/>
  <c r="P122" i="51"/>
  <c r="O138" i="51"/>
  <c r="Q138" i="51"/>
  <c r="R138" i="51"/>
  <c r="P138" i="51"/>
  <c r="O183" i="51"/>
  <c r="P183" i="51"/>
  <c r="Q183" i="51"/>
  <c r="R183" i="51"/>
  <c r="O179" i="51"/>
  <c r="Q179" i="51"/>
  <c r="R179" i="51"/>
  <c r="P179" i="51"/>
  <c r="R156" i="51"/>
  <c r="O156" i="51"/>
  <c r="Q156" i="51"/>
  <c r="P156" i="51"/>
  <c r="O117" i="51"/>
  <c r="R117" i="51"/>
  <c r="P117" i="51"/>
  <c r="Q117" i="51"/>
  <c r="O174" i="51"/>
  <c r="R174" i="51"/>
  <c r="P174" i="51"/>
  <c r="Q174" i="51"/>
  <c r="R111" i="51"/>
  <c r="O111" i="51"/>
  <c r="Q111" i="51"/>
  <c r="P111" i="51"/>
  <c r="O147" i="51"/>
  <c r="P147" i="51"/>
  <c r="R147" i="51"/>
  <c r="Q147" i="51"/>
  <c r="Q115" i="51"/>
  <c r="O115" i="51"/>
  <c r="R115" i="51"/>
  <c r="P115" i="51"/>
  <c r="O158" i="51"/>
  <c r="R158" i="51"/>
  <c r="P158" i="51"/>
  <c r="Q158" i="51"/>
  <c r="Q114" i="51"/>
  <c r="R114" i="51"/>
  <c r="O114" i="51"/>
  <c r="P114" i="51"/>
  <c r="Q163" i="51"/>
  <c r="O163" i="51"/>
  <c r="P163" i="51"/>
  <c r="R163" i="51"/>
  <c r="R108" i="51"/>
  <c r="P108" i="51"/>
  <c r="O108" i="51"/>
  <c r="Q108" i="51"/>
  <c r="O136" i="51"/>
  <c r="R136" i="51"/>
  <c r="Q136" i="51"/>
  <c r="P136" i="51"/>
  <c r="O128" i="51"/>
  <c r="Q128" i="51"/>
  <c r="P128" i="51"/>
  <c r="R128" i="51"/>
  <c r="O186" i="51"/>
  <c r="P186" i="51"/>
  <c r="Q186" i="51"/>
  <c r="R186" i="51"/>
  <c r="G31" i="3"/>
  <c r="H31" i="3" s="1"/>
  <c r="D9" i="27"/>
  <c r="E9" i="27" s="1"/>
  <c r="I61" i="28" s="1"/>
  <c r="I10" i="28"/>
  <c r="I16" i="28"/>
  <c r="I11" i="28"/>
  <c r="I17" i="28"/>
  <c r="I6" i="28"/>
  <c r="I12" i="28"/>
  <c r="I5" i="28"/>
  <c r="I7" i="28"/>
  <c r="I13" i="28"/>
  <c r="I8" i="28"/>
  <c r="I14" i="28"/>
  <c r="I9" i="28"/>
  <c r="I15" i="28"/>
  <c r="I37" i="28"/>
  <c r="I43" i="28"/>
  <c r="I49" i="28"/>
  <c r="I55" i="28"/>
  <c r="I38" i="28"/>
  <c r="I44" i="28"/>
  <c r="I50" i="28"/>
  <c r="I56" i="28"/>
  <c r="I33" i="28"/>
  <c r="I39" i="28"/>
  <c r="I45" i="28"/>
  <c r="I51" i="28"/>
  <c r="I57" i="28"/>
  <c r="I34" i="28"/>
  <c r="I40" i="28"/>
  <c r="I46" i="28"/>
  <c r="I52" i="28"/>
  <c r="I58" i="28"/>
  <c r="I35" i="28"/>
  <c r="I41" i="28"/>
  <c r="I47" i="28"/>
  <c r="I53" i="28"/>
  <c r="I59" i="28"/>
  <c r="I36" i="28"/>
  <c r="I42" i="28"/>
  <c r="I48" i="28"/>
  <c r="I54" i="28"/>
  <c r="I32" i="28"/>
  <c r="E27" i="36"/>
  <c r="I30" i="25"/>
  <c r="K30" i="25"/>
  <c r="D28" i="41"/>
  <c r="E27" i="46"/>
  <c r="K96" i="36"/>
  <c r="D37" i="48"/>
  <c r="E31" i="3"/>
  <c r="E29" i="3"/>
  <c r="D39" i="46"/>
  <c r="C39" i="46"/>
  <c r="D63" i="46"/>
  <c r="C63" i="46"/>
  <c r="C41" i="46"/>
  <c r="D41" i="46"/>
  <c r="D50" i="46"/>
  <c r="C50" i="46"/>
  <c r="D42" i="46"/>
  <c r="C42" i="46"/>
  <c r="C43" i="46"/>
  <c r="D43" i="46"/>
  <c r="C61" i="46"/>
  <c r="D61" i="46"/>
  <c r="D33" i="46"/>
  <c r="C33" i="46"/>
  <c r="C35" i="46"/>
  <c r="D35" i="46"/>
  <c r="C59" i="46"/>
  <c r="D59" i="46"/>
  <c r="D66" i="46"/>
  <c r="C66" i="46"/>
  <c r="C40" i="46"/>
  <c r="D40" i="46"/>
  <c r="C64" i="46"/>
  <c r="D64" i="46"/>
  <c r="D57" i="46"/>
  <c r="C57" i="46"/>
  <c r="D60" i="46"/>
  <c r="C60" i="46"/>
  <c r="D62" i="46"/>
  <c r="C62" i="46"/>
  <c r="D54" i="46"/>
  <c r="C54" i="46"/>
  <c r="C37" i="46"/>
  <c r="D37" i="46"/>
  <c r="C55" i="46"/>
  <c r="D55" i="46"/>
  <c r="D38" i="46"/>
  <c r="C38" i="46"/>
  <c r="C53" i="46"/>
  <c r="D53" i="46"/>
  <c r="C34" i="46"/>
  <c r="D34" i="46"/>
  <c r="C58" i="46"/>
  <c r="D58" i="46"/>
  <c r="D51" i="46"/>
  <c r="C51" i="46"/>
  <c r="C47" i="46"/>
  <c r="D47" i="46"/>
  <c r="D36" i="46"/>
  <c r="C36" i="46"/>
  <c r="C56" i="46"/>
  <c r="D56" i="46"/>
  <c r="D48" i="46"/>
  <c r="C48" i="46"/>
  <c r="C49" i="46"/>
  <c r="D49" i="46"/>
  <c r="C52" i="46"/>
  <c r="D52" i="46"/>
  <c r="D45" i="46"/>
  <c r="C45" i="46"/>
  <c r="C65" i="46"/>
  <c r="D65" i="46"/>
  <c r="C44" i="46"/>
  <c r="D44" i="46"/>
  <c r="C46" i="46"/>
  <c r="D46" i="46"/>
  <c r="C22" i="46"/>
  <c r="D22" i="46"/>
  <c r="C20" i="46"/>
  <c r="D20" i="46"/>
  <c r="C23" i="46"/>
  <c r="D23" i="46"/>
  <c r="C19" i="46"/>
  <c r="D19" i="46"/>
  <c r="D15" i="46"/>
  <c r="C15" i="46"/>
  <c r="C17" i="46"/>
  <c r="D17" i="46"/>
  <c r="C13" i="46"/>
  <c r="D13" i="46"/>
  <c r="D24" i="46"/>
  <c r="C24" i="46"/>
  <c r="D27" i="46"/>
  <c r="C27" i="46"/>
  <c r="C32" i="46"/>
  <c r="D32" i="46"/>
  <c r="D18" i="46"/>
  <c r="C18" i="46"/>
  <c r="C16" i="46"/>
  <c r="D16" i="46"/>
  <c r="C29" i="46"/>
  <c r="D29" i="46"/>
  <c r="D14" i="46"/>
  <c r="C14" i="46"/>
  <c r="C31" i="46"/>
  <c r="D31" i="46"/>
  <c r="D21" i="46"/>
  <c r="C21" i="46"/>
  <c r="D26" i="46"/>
  <c r="C26" i="46"/>
  <c r="C28" i="46"/>
  <c r="D28" i="46"/>
  <c r="D30" i="46"/>
  <c r="C30" i="46"/>
  <c r="E26" i="36"/>
  <c r="D27" i="41"/>
  <c r="D26" i="41"/>
  <c r="E30" i="3"/>
  <c r="E25" i="36"/>
  <c r="K65" i="36"/>
  <c r="K78" i="36"/>
  <c r="E25" i="46"/>
  <c r="G19" i="3"/>
  <c r="G26" i="3"/>
  <c r="S18" i="24" s="1"/>
  <c r="T18" i="24" s="1"/>
  <c r="G24" i="3"/>
  <c r="S16" i="24" s="1"/>
  <c r="T16" i="24" s="1"/>
  <c r="G20" i="3"/>
  <c r="S12" i="24" s="1"/>
  <c r="T12" i="24" s="1"/>
  <c r="G23" i="3"/>
  <c r="S15" i="24" s="1"/>
  <c r="T15" i="24" s="1"/>
  <c r="G22" i="3"/>
  <c r="G25" i="3"/>
  <c r="S17" i="24" s="1"/>
  <c r="T17" i="24" s="1"/>
  <c r="G28" i="3"/>
  <c r="G18" i="3"/>
  <c r="G21" i="3"/>
  <c r="F4" i="24"/>
  <c r="G4" i="24"/>
  <c r="L5" i="25" s="1"/>
  <c r="D4" i="24"/>
  <c r="K80" i="36"/>
  <c r="K102" i="36"/>
  <c r="O9" i="24"/>
  <c r="G17" i="3"/>
  <c r="S9" i="24" s="1"/>
  <c r="E23" i="3"/>
  <c r="D29" i="48"/>
  <c r="E20" i="36"/>
  <c r="D30" i="48"/>
  <c r="J20" i="25"/>
  <c r="D27" i="48"/>
  <c r="E23" i="36"/>
  <c r="D33" i="48"/>
  <c r="D34" i="48"/>
  <c r="D16" i="41"/>
  <c r="D25" i="48"/>
  <c r="K28" i="25"/>
  <c r="I29" i="25"/>
  <c r="E26" i="46"/>
  <c r="E23" i="46"/>
  <c r="K108" i="36"/>
  <c r="G29" i="3"/>
  <c r="G27" i="3"/>
  <c r="S19" i="24" s="1"/>
  <c r="T19" i="24" s="1"/>
  <c r="G30" i="3"/>
  <c r="K72" i="36"/>
  <c r="K90" i="36"/>
  <c r="K84" i="36"/>
  <c r="K86" i="36"/>
  <c r="K74" i="36"/>
  <c r="I24" i="25"/>
  <c r="V47" i="25"/>
  <c r="T47" i="25"/>
  <c r="U65" i="25"/>
  <c r="T65" i="25"/>
  <c r="E6" i="27"/>
  <c r="I31" i="28" s="1"/>
  <c r="L5" i="27"/>
  <c r="E5" i="27"/>
  <c r="I30" i="28" s="1"/>
  <c r="L6" i="27"/>
  <c r="V2" i="27"/>
  <c r="W2" i="27" s="1"/>
  <c r="F3" i="27" s="1"/>
  <c r="E4" i="27"/>
  <c r="P13" i="36" s="1"/>
  <c r="L4" i="27"/>
  <c r="L7" i="27"/>
  <c r="J17" i="25"/>
  <c r="U47" i="25"/>
  <c r="V65" i="25"/>
  <c r="K66" i="36"/>
  <c r="E17" i="3"/>
  <c r="E13" i="36"/>
  <c r="T51" i="25"/>
  <c r="U46" i="25"/>
  <c r="V55" i="25"/>
  <c r="T64" i="25"/>
  <c r="U56" i="25"/>
  <c r="T40" i="25"/>
  <c r="K42" i="36"/>
  <c r="K61" i="36"/>
  <c r="K82" i="36"/>
  <c r="K39" i="36"/>
  <c r="K32" i="36"/>
  <c r="K93" i="36"/>
  <c r="K101" i="36"/>
  <c r="K110" i="36"/>
  <c r="K30" i="36"/>
  <c r="K45" i="36"/>
  <c r="K70" i="36"/>
  <c r="K100" i="36"/>
  <c r="K112" i="36"/>
  <c r="K51" i="36"/>
  <c r="K40" i="36"/>
  <c r="K106" i="36"/>
  <c r="K52" i="36"/>
  <c r="K83" i="36"/>
  <c r="K109" i="36"/>
  <c r="K89" i="36"/>
  <c r="K33" i="36"/>
  <c r="K95" i="36"/>
  <c r="E27" i="3"/>
  <c r="U45" i="25"/>
  <c r="T45" i="25"/>
  <c r="V40" i="25"/>
  <c r="D14" i="41"/>
  <c r="V53" i="25"/>
  <c r="U53" i="25"/>
  <c r="T53" i="25"/>
  <c r="V60" i="25"/>
  <c r="T61" i="25"/>
  <c r="V43" i="25"/>
  <c r="U60" i="25"/>
  <c r="U43" i="25"/>
  <c r="U62" i="25"/>
  <c r="K44" i="36"/>
  <c r="T60" i="25"/>
  <c r="T43" i="25"/>
  <c r="T62" i="25"/>
  <c r="U52" i="25"/>
  <c r="U8" i="27"/>
  <c r="V8" i="27" s="1"/>
  <c r="W8" i="27" s="1"/>
  <c r="V39" i="25"/>
  <c r="T52" i="25"/>
  <c r="U42" i="25"/>
  <c r="V61" i="25"/>
  <c r="U44" i="25"/>
  <c r="U39" i="25"/>
  <c r="U57" i="25"/>
  <c r="V52" i="25"/>
  <c r="V57" i="25"/>
  <c r="E19" i="3"/>
  <c r="U59" i="25"/>
  <c r="T42" i="25"/>
  <c r="U61" i="25"/>
  <c r="T44" i="25"/>
  <c r="T39" i="25"/>
  <c r="T57" i="25"/>
  <c r="U54" i="25"/>
  <c r="U38" i="25"/>
  <c r="T56" i="25"/>
  <c r="T46" i="25"/>
  <c r="V64" i="25"/>
  <c r="U37" i="25"/>
  <c r="V38" i="25"/>
  <c r="V56" i="25"/>
  <c r="T38" i="25"/>
  <c r="K38" i="36"/>
  <c r="V51" i="25"/>
  <c r="U51" i="25"/>
  <c r="V46" i="25"/>
  <c r="U64" i="25"/>
  <c r="K56" i="36"/>
  <c r="T59" i="25"/>
  <c r="V41" i="25"/>
  <c r="U41" i="25"/>
  <c r="T41" i="25"/>
  <c r="K53" i="36"/>
  <c r="V59" i="25"/>
  <c r="F16" i="47"/>
  <c r="F16" i="1"/>
  <c r="K68" i="36"/>
  <c r="K64" i="36"/>
  <c r="K76" i="36"/>
  <c r="K62" i="36"/>
  <c r="K81" i="36"/>
  <c r="K103" i="36"/>
  <c r="K67" i="36"/>
  <c r="K37" i="36"/>
  <c r="K31" i="36"/>
  <c r="K58" i="36"/>
  <c r="S119" i="25"/>
  <c r="X119" i="25" s="1"/>
  <c r="K35" i="36"/>
  <c r="K49" i="36"/>
  <c r="K79" i="36"/>
  <c r="K87" i="36"/>
  <c r="K97" i="36"/>
  <c r="K99" i="36"/>
  <c r="K54" i="36"/>
  <c r="K85" i="36"/>
  <c r="K111" i="36"/>
  <c r="K57" i="36"/>
  <c r="K63" i="36"/>
  <c r="S124" i="25"/>
  <c r="W124" i="25" s="1"/>
  <c r="K98" i="36"/>
  <c r="K36" i="36"/>
  <c r="K105" i="36"/>
  <c r="K92" i="36"/>
  <c r="S334" i="25"/>
  <c r="Y334" i="25" s="1"/>
  <c r="S266" i="25"/>
  <c r="Y266" i="25" s="1"/>
  <c r="S341" i="25"/>
  <c r="W341" i="25" s="1"/>
  <c r="S193" i="25"/>
  <c r="X193" i="25" s="1"/>
  <c r="K75" i="36"/>
  <c r="K55" i="36"/>
  <c r="K34" i="36"/>
  <c r="K71" i="36"/>
  <c r="K77" i="36"/>
  <c r="K73" i="36"/>
  <c r="K94" i="36"/>
  <c r="K43" i="36"/>
  <c r="K69" i="36"/>
  <c r="S196" i="25"/>
  <c r="X196" i="25" s="1"/>
  <c r="S152" i="25"/>
  <c r="W152" i="25" s="1"/>
  <c r="S246" i="25"/>
  <c r="W246" i="25" s="1"/>
  <c r="K104" i="36"/>
  <c r="K60" i="36"/>
  <c r="K48" i="36"/>
  <c r="K91" i="36"/>
  <c r="S264" i="25"/>
  <c r="W264" i="25" s="1"/>
  <c r="S315" i="25"/>
  <c r="W315" i="25" s="1"/>
  <c r="S271" i="25"/>
  <c r="Y271" i="25" s="1"/>
  <c r="S216" i="25"/>
  <c r="Y216" i="25" s="1"/>
  <c r="S245" i="25"/>
  <c r="Y245" i="25" s="1"/>
  <c r="S147" i="25"/>
  <c r="Y147" i="25" s="1"/>
  <c r="S168" i="25"/>
  <c r="Y168" i="25" s="1"/>
  <c r="S294" i="25"/>
  <c r="X294" i="25" s="1"/>
  <c r="S289" i="25"/>
  <c r="Y289" i="25" s="1"/>
  <c r="S304" i="25"/>
  <c r="Y304" i="25" s="1"/>
  <c r="S314" i="25"/>
  <c r="W314" i="25" s="1"/>
  <c r="S150" i="25"/>
  <c r="W150" i="25" s="1"/>
  <c r="S121" i="25"/>
  <c r="X121" i="25" s="1"/>
  <c r="S140" i="25"/>
  <c r="Y140" i="25" s="1"/>
  <c r="S167" i="25"/>
  <c r="X167" i="25" s="1"/>
  <c r="S206" i="25"/>
  <c r="W206" i="25" s="1"/>
  <c r="S230" i="25"/>
  <c r="W230" i="25" s="1"/>
  <c r="S262" i="25"/>
  <c r="X262" i="25" s="1"/>
  <c r="S272" i="25"/>
  <c r="W272" i="25" s="1"/>
  <c r="S282" i="25"/>
  <c r="Y282" i="25" s="1"/>
  <c r="S292" i="25"/>
  <c r="W292" i="25" s="1"/>
  <c r="S303" i="25"/>
  <c r="W303" i="25" s="1"/>
  <c r="S324" i="25"/>
  <c r="W324" i="25" s="1"/>
  <c r="S141" i="25"/>
  <c r="X141" i="25" s="1"/>
  <c r="S178" i="25"/>
  <c r="X178" i="25" s="1"/>
  <c r="S188" i="25"/>
  <c r="W188" i="25" s="1"/>
  <c r="S226" i="25"/>
  <c r="Y226" i="25" s="1"/>
  <c r="S236" i="25"/>
  <c r="W236" i="25" s="1"/>
  <c r="S122" i="25"/>
  <c r="Y122" i="25" s="1"/>
  <c r="S157" i="25"/>
  <c r="Y157" i="25" s="1"/>
  <c r="S202" i="25"/>
  <c r="W202" i="25" s="1"/>
  <c r="S212" i="25"/>
  <c r="W212" i="25" s="1"/>
  <c r="S132" i="25"/>
  <c r="X132" i="25" s="1"/>
  <c r="S158" i="25"/>
  <c r="W158" i="25" s="1"/>
  <c r="S184" i="25"/>
  <c r="X184" i="25" s="1"/>
  <c r="S198" i="25"/>
  <c r="W198" i="25" s="1"/>
  <c r="S208" i="25"/>
  <c r="Y208" i="25" s="1"/>
  <c r="S227" i="25"/>
  <c r="W227" i="25" s="1"/>
  <c r="S259" i="25"/>
  <c r="Y259" i="25" s="1"/>
  <c r="S274" i="25"/>
  <c r="Y274" i="25" s="1"/>
  <c r="S326" i="25"/>
  <c r="X326" i="25" s="1"/>
  <c r="S336" i="25"/>
  <c r="W336" i="25" s="1"/>
  <c r="S344" i="25"/>
  <c r="W344" i="25" s="1"/>
  <c r="S323" i="25"/>
  <c r="X323" i="25" s="1"/>
  <c r="S133" i="25"/>
  <c r="W133" i="25" s="1"/>
  <c r="S159" i="25"/>
  <c r="Y159" i="25" s="1"/>
  <c r="S169" i="25"/>
  <c r="W169" i="25" s="1"/>
  <c r="S179" i="25"/>
  <c r="X179" i="25" s="1"/>
  <c r="S209" i="25"/>
  <c r="W209" i="25" s="1"/>
  <c r="S218" i="25"/>
  <c r="X218" i="25" s="1"/>
  <c r="S233" i="25"/>
  <c r="X233" i="25" s="1"/>
  <c r="S254" i="25"/>
  <c r="Y254" i="25" s="1"/>
  <c r="S270" i="25"/>
  <c r="Y270" i="25" s="1"/>
  <c r="S279" i="25"/>
  <c r="X279" i="25" s="1"/>
  <c r="S300" i="25"/>
  <c r="W300" i="25" s="1"/>
  <c r="S311" i="25"/>
  <c r="Y311" i="25" s="1"/>
  <c r="S331" i="25"/>
  <c r="X331" i="25" s="1"/>
  <c r="S345" i="25"/>
  <c r="W345" i="25" s="1"/>
  <c r="S126" i="25"/>
  <c r="X126" i="25" s="1"/>
  <c r="S195" i="25"/>
  <c r="Y195" i="25" s="1"/>
  <c r="S240" i="25"/>
  <c r="W240" i="25" s="1"/>
  <c r="S256" i="25"/>
  <c r="X256" i="25" s="1"/>
  <c r="S291" i="25"/>
  <c r="X291" i="25" s="1"/>
  <c r="S302" i="25"/>
  <c r="Y302" i="25" s="1"/>
  <c r="S134" i="25"/>
  <c r="W134" i="25" s="1"/>
  <c r="S149" i="25"/>
  <c r="Y149" i="25" s="1"/>
  <c r="S160" i="25"/>
  <c r="Y160" i="25" s="1"/>
  <c r="S170" i="25"/>
  <c r="Y170" i="25" s="1"/>
  <c r="S180" i="25"/>
  <c r="Y180" i="25" s="1"/>
  <c r="S194" i="25"/>
  <c r="W194" i="25" s="1"/>
  <c r="S210" i="25"/>
  <c r="X210" i="25" s="1"/>
  <c r="S228" i="25"/>
  <c r="W228" i="25" s="1"/>
  <c r="S244" i="25"/>
  <c r="X244" i="25" s="1"/>
  <c r="S255" i="25"/>
  <c r="W255" i="25" s="1"/>
  <c r="S285" i="25"/>
  <c r="X285" i="25" s="1"/>
  <c r="S301" i="25"/>
  <c r="X301" i="25" s="1"/>
  <c r="S317" i="25"/>
  <c r="Y317" i="25" s="1"/>
  <c r="S327" i="25"/>
  <c r="X327" i="25" s="1"/>
  <c r="S356" i="25"/>
  <c r="Y356" i="25" s="1"/>
  <c r="S120" i="25"/>
  <c r="X120" i="25" s="1"/>
  <c r="S135" i="25"/>
  <c r="W135" i="25" s="1"/>
  <c r="S144" i="25"/>
  <c r="X144" i="25" s="1"/>
  <c r="S161" i="25"/>
  <c r="W161" i="25" s="1"/>
  <c r="S176" i="25"/>
  <c r="W176" i="25" s="1"/>
  <c r="S186" i="25"/>
  <c r="Y186" i="25" s="1"/>
  <c r="S219" i="25"/>
  <c r="Y219" i="25" s="1"/>
  <c r="S229" i="25"/>
  <c r="W229" i="25" s="1"/>
  <c r="S312" i="25"/>
  <c r="W312" i="25" s="1"/>
  <c r="S333" i="25"/>
  <c r="Y333" i="25" s="1"/>
  <c r="S346" i="25"/>
  <c r="X346" i="25" s="1"/>
  <c r="S293" i="25"/>
  <c r="W293" i="25" s="1"/>
  <c r="S309" i="25"/>
  <c r="Y309" i="25" s="1"/>
  <c r="S320" i="25"/>
  <c r="X320" i="25" s="1"/>
  <c r="S335" i="25"/>
  <c r="X335" i="25" s="1"/>
  <c r="S252" i="25"/>
  <c r="Y252" i="25" s="1"/>
  <c r="S354" i="25"/>
  <c r="W354" i="25" s="1"/>
  <c r="D25" i="41"/>
  <c r="E15" i="36"/>
  <c r="V42" i="25"/>
  <c r="V44" i="25"/>
  <c r="V62" i="25"/>
  <c r="E26" i="3"/>
  <c r="D23" i="41"/>
  <c r="T36" i="25"/>
  <c r="T54" i="25"/>
  <c r="V36" i="25"/>
  <c r="V54" i="25"/>
  <c r="V37" i="25"/>
  <c r="U55" i="25"/>
  <c r="T30" i="25"/>
  <c r="E24" i="3"/>
  <c r="U36" i="25"/>
  <c r="U48" i="25"/>
  <c r="T37" i="25"/>
  <c r="T55" i="25"/>
  <c r="K107" i="36"/>
  <c r="E19" i="36"/>
  <c r="D20" i="41"/>
  <c r="V34" i="25"/>
  <c r="K13" i="36"/>
  <c r="C16" i="25" s="1"/>
  <c r="O16" i="25" s="1"/>
  <c r="E21" i="36"/>
  <c r="E20" i="3"/>
  <c r="T48" i="25"/>
  <c r="U49" i="25"/>
  <c r="U50" i="25"/>
  <c r="U63" i="25"/>
  <c r="V58" i="25"/>
  <c r="K21" i="25"/>
  <c r="T49" i="25"/>
  <c r="T50" i="25"/>
  <c r="T63" i="25"/>
  <c r="T58" i="25"/>
  <c r="V50" i="25"/>
  <c r="V45" i="25"/>
  <c r="U40" i="25"/>
  <c r="K50" i="36"/>
  <c r="V48" i="25"/>
  <c r="V49" i="25"/>
  <c r="V63" i="25"/>
  <c r="U58" i="25"/>
  <c r="V31" i="25"/>
  <c r="K19" i="25"/>
  <c r="D23" i="48"/>
  <c r="E504" i="3"/>
  <c r="D15" i="41"/>
  <c r="E467" i="3"/>
  <c r="E479" i="3"/>
  <c r="E503" i="3"/>
  <c r="E464" i="3"/>
  <c r="E475" i="3"/>
  <c r="E477" i="3"/>
  <c r="E473" i="3"/>
  <c r="E469" i="3"/>
  <c r="E471" i="3"/>
  <c r="E474" i="3"/>
  <c r="E470" i="3"/>
  <c r="E472" i="3"/>
  <c r="K88" i="36"/>
  <c r="E498" i="3"/>
  <c r="E493" i="3"/>
  <c r="E499" i="3"/>
  <c r="E494" i="3"/>
  <c r="E496" i="3"/>
  <c r="E491" i="3"/>
  <c r="E492" i="3"/>
  <c r="E480" i="3"/>
  <c r="E481" i="3"/>
  <c r="E465" i="3"/>
  <c r="E468" i="3"/>
  <c r="E476" i="3"/>
  <c r="E482" i="3"/>
  <c r="E466" i="3"/>
  <c r="E478" i="3"/>
  <c r="I25" i="25"/>
  <c r="E485" i="3"/>
  <c r="E486" i="3"/>
  <c r="E487" i="3"/>
  <c r="E488" i="3"/>
  <c r="E489" i="3"/>
  <c r="E497" i="3"/>
  <c r="E495" i="3"/>
  <c r="K27" i="25"/>
  <c r="E490" i="3"/>
  <c r="E500" i="3"/>
  <c r="E483" i="3"/>
  <c r="E501" i="3"/>
  <c r="E484" i="3"/>
  <c r="E502" i="3"/>
  <c r="S318" i="25"/>
  <c r="W318" i="25" s="1"/>
  <c r="S151" i="25"/>
  <c r="Y151" i="25" s="1"/>
  <c r="S177" i="25"/>
  <c r="W177" i="25" s="1"/>
  <c r="S187" i="25"/>
  <c r="Y187" i="25" s="1"/>
  <c r="S251" i="25"/>
  <c r="W251" i="25" s="1"/>
  <c r="S313" i="25"/>
  <c r="W313" i="25" s="1"/>
  <c r="S347" i="25"/>
  <c r="W347" i="25" s="1"/>
  <c r="S127" i="25"/>
  <c r="X127" i="25" s="1"/>
  <c r="S263" i="25"/>
  <c r="X263" i="25" s="1"/>
  <c r="S123" i="25"/>
  <c r="X123" i="25" s="1"/>
  <c r="S217" i="25"/>
  <c r="W217" i="25" s="1"/>
  <c r="S237" i="25"/>
  <c r="X237" i="25" s="1"/>
  <c r="S247" i="25"/>
  <c r="Y247" i="25" s="1"/>
  <c r="S283" i="25"/>
  <c r="Y283" i="25" s="1"/>
  <c r="S305" i="25"/>
  <c r="Y305" i="25" s="1"/>
  <c r="S355" i="25"/>
  <c r="W355" i="25" s="1"/>
  <c r="S143" i="25"/>
  <c r="W143" i="25" s="1"/>
  <c r="S189" i="25"/>
  <c r="X189" i="25" s="1"/>
  <c r="S199" i="25"/>
  <c r="X199" i="25" s="1"/>
  <c r="S243" i="25"/>
  <c r="Y243" i="25" s="1"/>
  <c r="S267" i="25"/>
  <c r="X267" i="25" s="1"/>
  <c r="S281" i="25"/>
  <c r="W281" i="25" s="1"/>
  <c r="S273" i="25"/>
  <c r="Y273" i="25" s="1"/>
  <c r="S342" i="25"/>
  <c r="Y342" i="25" s="1"/>
  <c r="S117" i="25"/>
  <c r="Y117" i="25" s="1"/>
  <c r="S145" i="25"/>
  <c r="Y145" i="25" s="1"/>
  <c r="S156" i="25"/>
  <c r="X156" i="25" s="1"/>
  <c r="S172" i="25"/>
  <c r="Y172" i="25" s="1"/>
  <c r="S182" i="25"/>
  <c r="X182" i="25" s="1"/>
  <c r="S191" i="25"/>
  <c r="W191" i="25" s="1"/>
  <c r="S201" i="25"/>
  <c r="W201" i="25" s="1"/>
  <c r="S211" i="25"/>
  <c r="W211" i="25" s="1"/>
  <c r="S220" i="25"/>
  <c r="W220" i="25" s="1"/>
  <c r="S235" i="25"/>
  <c r="W235" i="25" s="1"/>
  <c r="S257" i="25"/>
  <c r="X257" i="25" s="1"/>
  <c r="S268" i="25"/>
  <c r="X268" i="25" s="1"/>
  <c r="S277" i="25"/>
  <c r="X277" i="25" s="1"/>
  <c r="S287" i="25"/>
  <c r="Y287" i="25" s="1"/>
  <c r="S297" i="25"/>
  <c r="X297" i="25" s="1"/>
  <c r="S308" i="25"/>
  <c r="W308" i="25" s="1"/>
  <c r="S319" i="25"/>
  <c r="W319" i="25" s="1"/>
  <c r="S329" i="25"/>
  <c r="W329" i="25" s="1"/>
  <c r="S343" i="25"/>
  <c r="X343" i="25" s="1"/>
  <c r="S353" i="25"/>
  <c r="X353" i="25" s="1"/>
  <c r="S131" i="25"/>
  <c r="W131" i="25" s="1"/>
  <c r="S146" i="25"/>
  <c r="W146" i="25" s="1"/>
  <c r="S162" i="25"/>
  <c r="W162" i="25" s="1"/>
  <c r="S183" i="25"/>
  <c r="Y183" i="25" s="1"/>
  <c r="S221" i="25"/>
  <c r="W221" i="25" s="1"/>
  <c r="S231" i="25"/>
  <c r="W231" i="25" s="1"/>
  <c r="S241" i="25"/>
  <c r="X241" i="25" s="1"/>
  <c r="S258" i="25"/>
  <c r="Y258" i="25" s="1"/>
  <c r="S269" i="25"/>
  <c r="Y269" i="25" s="1"/>
  <c r="S136" i="25"/>
  <c r="Y136" i="25" s="1"/>
  <c r="S197" i="25"/>
  <c r="Y197" i="25" s="1"/>
  <c r="S207" i="25"/>
  <c r="Y207" i="25" s="1"/>
  <c r="S118" i="25"/>
  <c r="W118" i="25" s="1"/>
  <c r="S128" i="25"/>
  <c r="X128" i="25" s="1"/>
  <c r="S142" i="25"/>
  <c r="W142" i="25" s="1"/>
  <c r="S153" i="25"/>
  <c r="Y153" i="25" s="1"/>
  <c r="S163" i="25"/>
  <c r="X163" i="25" s="1"/>
  <c r="S173" i="25"/>
  <c r="W173" i="25" s="1"/>
  <c r="S192" i="25"/>
  <c r="X192" i="25" s="1"/>
  <c r="S203" i="25"/>
  <c r="W203" i="25" s="1"/>
  <c r="S213" i="25"/>
  <c r="Y213" i="25" s="1"/>
  <c r="S222" i="25"/>
  <c r="Y222" i="25" s="1"/>
  <c r="S232" i="25"/>
  <c r="Y232" i="25" s="1"/>
  <c r="S242" i="25"/>
  <c r="Y242" i="25" s="1"/>
  <c r="S253" i="25"/>
  <c r="Y253" i="25" s="1"/>
  <c r="S278" i="25"/>
  <c r="Y278" i="25" s="1"/>
  <c r="S288" i="25"/>
  <c r="W288" i="25" s="1"/>
  <c r="S299" i="25"/>
  <c r="Y299" i="25" s="1"/>
  <c r="S310" i="25"/>
  <c r="X310" i="25" s="1"/>
  <c r="S321" i="25"/>
  <c r="W321" i="25" s="1"/>
  <c r="S330" i="25"/>
  <c r="Y330" i="25" s="1"/>
  <c r="S340" i="25"/>
  <c r="W340" i="25" s="1"/>
  <c r="S349" i="25"/>
  <c r="X349" i="25" s="1"/>
  <c r="S129" i="25"/>
  <c r="W129" i="25" s="1"/>
  <c r="S137" i="25"/>
  <c r="Y137" i="25" s="1"/>
  <c r="S148" i="25"/>
  <c r="X148" i="25" s="1"/>
  <c r="S164" i="25"/>
  <c r="Y164" i="25" s="1"/>
  <c r="S174" i="25"/>
  <c r="Y174" i="25" s="1"/>
  <c r="S185" i="25"/>
  <c r="X185" i="25" s="1"/>
  <c r="S204" i="25"/>
  <c r="X204" i="25" s="1"/>
  <c r="S214" i="25"/>
  <c r="Y214" i="25" s="1"/>
  <c r="S223" i="25"/>
  <c r="X223" i="25" s="1"/>
  <c r="S238" i="25"/>
  <c r="W238" i="25" s="1"/>
  <c r="S248" i="25"/>
  <c r="W248" i="25" s="1"/>
  <c r="S265" i="25"/>
  <c r="W265" i="25" s="1"/>
  <c r="S275" i="25"/>
  <c r="W275" i="25" s="1"/>
  <c r="S284" i="25"/>
  <c r="W284" i="25" s="1"/>
  <c r="S295" i="25"/>
  <c r="W295" i="25" s="1"/>
  <c r="S306" i="25"/>
  <c r="Y306" i="25" s="1"/>
  <c r="S316" i="25"/>
  <c r="Y316" i="25" s="1"/>
  <c r="S337" i="25"/>
  <c r="Y337" i="25" s="1"/>
  <c r="S350" i="25"/>
  <c r="W350" i="25" s="1"/>
  <c r="S171" i="25"/>
  <c r="W171" i="25" s="1"/>
  <c r="S200" i="25"/>
  <c r="Y200" i="25" s="1"/>
  <c r="S250" i="25"/>
  <c r="W250" i="25" s="1"/>
  <c r="S261" i="25"/>
  <c r="Y261" i="25" s="1"/>
  <c r="S276" i="25"/>
  <c r="Y276" i="25" s="1"/>
  <c r="S286" i="25"/>
  <c r="W286" i="25" s="1"/>
  <c r="S296" i="25"/>
  <c r="X296" i="25" s="1"/>
  <c r="S125" i="25"/>
  <c r="X125" i="25" s="1"/>
  <c r="S138" i="25"/>
  <c r="X138" i="25" s="1"/>
  <c r="S154" i="25"/>
  <c r="X154" i="25" s="1"/>
  <c r="S165" i="25"/>
  <c r="W165" i="25" s="1"/>
  <c r="S175" i="25"/>
  <c r="X175" i="25" s="1"/>
  <c r="S190" i="25"/>
  <c r="Y190" i="25" s="1"/>
  <c r="S205" i="25"/>
  <c r="Y205" i="25" s="1"/>
  <c r="S224" i="25"/>
  <c r="X224" i="25" s="1"/>
  <c r="S239" i="25"/>
  <c r="W239" i="25" s="1"/>
  <c r="S249" i="25"/>
  <c r="Y249" i="25" s="1"/>
  <c r="S260" i="25"/>
  <c r="X260" i="25" s="1"/>
  <c r="S280" i="25"/>
  <c r="Y280" i="25" s="1"/>
  <c r="S290" i="25"/>
  <c r="W290" i="25" s="1"/>
  <c r="S307" i="25"/>
  <c r="X307" i="25" s="1"/>
  <c r="S322" i="25"/>
  <c r="X322" i="25" s="1"/>
  <c r="S332" i="25"/>
  <c r="Y332" i="25" s="1"/>
  <c r="S351" i="25"/>
  <c r="X351" i="25" s="1"/>
  <c r="S116" i="25"/>
  <c r="X116" i="25" s="1"/>
  <c r="S130" i="25"/>
  <c r="Y130" i="25" s="1"/>
  <c r="S139" i="25"/>
  <c r="Y139" i="25" s="1"/>
  <c r="S155" i="25"/>
  <c r="X155" i="25" s="1"/>
  <c r="S166" i="25"/>
  <c r="W166" i="25" s="1"/>
  <c r="S181" i="25"/>
  <c r="X181" i="25" s="1"/>
  <c r="S215" i="25"/>
  <c r="X215" i="25" s="1"/>
  <c r="S225" i="25"/>
  <c r="Y225" i="25" s="1"/>
  <c r="S234" i="25"/>
  <c r="Y234" i="25" s="1"/>
  <c r="S328" i="25"/>
  <c r="X328" i="25" s="1"/>
  <c r="S338" i="25"/>
  <c r="W338" i="25" s="1"/>
  <c r="S352" i="25"/>
  <c r="Y352" i="25" s="1"/>
  <c r="S325" i="25"/>
  <c r="X325" i="25" s="1"/>
  <c r="S298" i="25"/>
  <c r="X298" i="25" s="1"/>
  <c r="S348" i="25"/>
  <c r="Y348" i="25" s="1"/>
  <c r="S339" i="25"/>
  <c r="W339" i="25" s="1"/>
  <c r="K46" i="36"/>
  <c r="T31" i="25"/>
  <c r="V30" i="25"/>
  <c r="T35" i="25"/>
  <c r="E28" i="3"/>
  <c r="I27" i="25"/>
  <c r="K23" i="25"/>
  <c r="U18" i="25"/>
  <c r="K41" i="36"/>
  <c r="K47" i="36"/>
  <c r="K59" i="36"/>
  <c r="K26" i="25"/>
  <c r="U35" i="25"/>
  <c r="K22" i="25"/>
  <c r="J18" i="25"/>
  <c r="U33" i="25"/>
  <c r="E22" i="36"/>
  <c r="D24" i="41"/>
  <c r="E24" i="36"/>
  <c r="E16" i="36"/>
  <c r="D18" i="41"/>
  <c r="E18" i="36"/>
  <c r="E17" i="36"/>
  <c r="E25" i="3"/>
  <c r="T27" i="25"/>
  <c r="E14" i="36"/>
  <c r="K17" i="36"/>
  <c r="C20" i="25" s="1"/>
  <c r="O20" i="25" s="1"/>
  <c r="D22" i="41"/>
  <c r="V33" i="25"/>
  <c r="D21" i="41"/>
  <c r="E18" i="3"/>
  <c r="D17" i="41"/>
  <c r="E21" i="3"/>
  <c r="D19" i="41"/>
  <c r="E22" i="3"/>
  <c r="U20" i="25"/>
  <c r="U34" i="25"/>
  <c r="V35" i="25"/>
  <c r="T32" i="25"/>
  <c r="U16" i="25"/>
  <c r="C3" i="24"/>
  <c r="U7" i="27"/>
  <c r="V7" i="27" s="1"/>
  <c r="W7" i="27" s="1"/>
  <c r="F11" i="27" s="1"/>
  <c r="D8" i="27"/>
  <c r="E8" i="27" s="1"/>
  <c r="P28" i="36" s="1"/>
  <c r="D10" i="27"/>
  <c r="E10" i="27" s="1"/>
  <c r="C5" i="3"/>
  <c r="S108" i="25"/>
  <c r="X108" i="25" s="1"/>
  <c r="S80" i="25"/>
  <c r="Y80" i="25" s="1"/>
  <c r="S72" i="25"/>
  <c r="W72" i="25" s="1"/>
  <c r="S71" i="25"/>
  <c r="Y71" i="25" s="1"/>
  <c r="S107" i="25"/>
  <c r="W107" i="25" s="1"/>
  <c r="S99" i="25"/>
  <c r="W99" i="25" s="1"/>
  <c r="K16" i="25"/>
  <c r="S78" i="25"/>
  <c r="Y78" i="25" s="1"/>
  <c r="S98" i="25"/>
  <c r="X98" i="25" s="1"/>
  <c r="S87" i="25"/>
  <c r="X87" i="25" s="1"/>
  <c r="I16" i="25"/>
  <c r="K18" i="25"/>
  <c r="K20" i="25"/>
  <c r="I17" i="25"/>
  <c r="P187" i="25"/>
  <c r="R187" i="25" s="1"/>
  <c r="P144" i="25"/>
  <c r="Q144" i="25" s="1"/>
  <c r="P150" i="25"/>
  <c r="Q150" i="25" s="1"/>
  <c r="P316" i="25"/>
  <c r="R316" i="25" s="1"/>
  <c r="F95" i="41"/>
  <c r="P253" i="25"/>
  <c r="Q253" i="25" s="1"/>
  <c r="P137" i="25"/>
  <c r="Q137" i="25" s="1"/>
  <c r="P169" i="25"/>
  <c r="R169" i="25" s="1"/>
  <c r="P256" i="25"/>
  <c r="R256" i="25" s="1"/>
  <c r="E13" i="46"/>
  <c r="P155" i="25"/>
  <c r="R155" i="25" s="1"/>
  <c r="P339" i="25"/>
  <c r="R339" i="25" s="1"/>
  <c r="P193" i="25"/>
  <c r="Q193" i="25" s="1"/>
  <c r="P301" i="25"/>
  <c r="Q301" i="25" s="1"/>
  <c r="P221" i="25"/>
  <c r="Q221" i="25" s="1"/>
  <c r="P238" i="25"/>
  <c r="R238" i="25" s="1"/>
  <c r="E14" i="46"/>
  <c r="P249" i="25"/>
  <c r="Q249" i="25" s="1"/>
  <c r="P315" i="25"/>
  <c r="Q315" i="25" s="1"/>
  <c r="P245" i="25"/>
  <c r="Q245" i="25" s="1"/>
  <c r="P331" i="25"/>
  <c r="R331" i="25" s="1"/>
  <c r="P352" i="25"/>
  <c r="R352" i="25" s="1"/>
  <c r="P242" i="25"/>
  <c r="R242" i="25" s="1"/>
  <c r="P239" i="25"/>
  <c r="Q239" i="25" s="1"/>
  <c r="F101" i="41"/>
  <c r="P212" i="25"/>
  <c r="Q212" i="25" s="1"/>
  <c r="P234" i="25"/>
  <c r="Q234" i="25" s="1"/>
  <c r="P73" i="25"/>
  <c r="Q73" i="25" s="1"/>
  <c r="P178" i="25"/>
  <c r="Q178" i="25" s="1"/>
  <c r="P337" i="25"/>
  <c r="Q337" i="25" s="1"/>
  <c r="P228" i="25"/>
  <c r="Q228" i="25" s="1"/>
  <c r="P248" i="25"/>
  <c r="R248" i="25" s="1"/>
  <c r="P336" i="25"/>
  <c r="R336" i="25" s="1"/>
  <c r="P132" i="25"/>
  <c r="R132" i="25" s="1"/>
  <c r="P201" i="25"/>
  <c r="R201" i="25" s="1"/>
  <c r="P313" i="25"/>
  <c r="R313" i="25" s="1"/>
  <c r="S81" i="25"/>
  <c r="W81" i="25" s="1"/>
  <c r="P37" i="25"/>
  <c r="Q37" i="25" s="1"/>
  <c r="P175" i="25"/>
  <c r="R175" i="25" s="1"/>
  <c r="P217" i="25"/>
  <c r="Q217" i="25" s="1"/>
  <c r="P325" i="25"/>
  <c r="Q325" i="25" s="1"/>
  <c r="S105" i="25"/>
  <c r="X105" i="25" s="1"/>
  <c r="S113" i="25"/>
  <c r="W113" i="25" s="1"/>
  <c r="P166" i="25"/>
  <c r="Q166" i="25" s="1"/>
  <c r="P168" i="25"/>
  <c r="R168" i="25" s="1"/>
  <c r="P342" i="25"/>
  <c r="Q342" i="25" s="1"/>
  <c r="E18" i="46"/>
  <c r="P172" i="25"/>
  <c r="Q172" i="25" s="1"/>
  <c r="S114" i="25"/>
  <c r="W114" i="25" s="1"/>
  <c r="J11" i="36"/>
  <c r="P146" i="25"/>
  <c r="Q146" i="25" s="1"/>
  <c r="P284" i="25"/>
  <c r="Q284" i="25" s="1"/>
  <c r="P138" i="25"/>
  <c r="Q138" i="25" s="1"/>
  <c r="P205" i="25"/>
  <c r="Q205" i="25" s="1"/>
  <c r="P149" i="25"/>
  <c r="Q149" i="25" s="1"/>
  <c r="P310" i="25"/>
  <c r="Q310" i="25" s="1"/>
  <c r="P250" i="25"/>
  <c r="Q250" i="25" s="1"/>
  <c r="K15" i="36"/>
  <c r="C18" i="25" s="1"/>
  <c r="O18" i="25" s="1"/>
  <c r="S90" i="25"/>
  <c r="Y90" i="25" s="1"/>
  <c r="F62" i="41"/>
  <c r="F110" i="41"/>
  <c r="P121" i="25"/>
  <c r="R121" i="25" s="1"/>
  <c r="P157" i="25"/>
  <c r="Q157" i="25" s="1"/>
  <c r="P177" i="25"/>
  <c r="R177" i="25" s="1"/>
  <c r="P283" i="25"/>
  <c r="R283" i="25" s="1"/>
  <c r="P287" i="25"/>
  <c r="Q287" i="25" s="1"/>
  <c r="S89" i="25"/>
  <c r="X89" i="25" s="1"/>
  <c r="P261" i="25"/>
  <c r="Q261" i="25" s="1"/>
  <c r="P143" i="25"/>
  <c r="Q143" i="25" s="1"/>
  <c r="P116" i="25"/>
  <c r="R116" i="25" s="1"/>
  <c r="P160" i="25"/>
  <c r="R160" i="25" s="1"/>
  <c r="P115" i="25"/>
  <c r="Q115" i="25" s="1"/>
  <c r="P267" i="25"/>
  <c r="R267" i="25" s="1"/>
  <c r="P323" i="25"/>
  <c r="R323" i="25" s="1"/>
  <c r="P300" i="25"/>
  <c r="Q300" i="25" s="1"/>
  <c r="P198" i="25"/>
  <c r="Q198" i="25" s="1"/>
  <c r="P270" i="25"/>
  <c r="R270" i="25" s="1"/>
  <c r="P192" i="25"/>
  <c r="Q192" i="25" s="1"/>
  <c r="P231" i="25"/>
  <c r="R231" i="25" s="1"/>
  <c r="P295" i="25"/>
  <c r="Q295" i="25" s="1"/>
  <c r="P136" i="25"/>
  <c r="R136" i="25" s="1"/>
  <c r="P280" i="25"/>
  <c r="Q280" i="25" s="1"/>
  <c r="P134" i="25"/>
  <c r="R134" i="25" s="1"/>
  <c r="F109" i="41"/>
  <c r="P154" i="25"/>
  <c r="Q154" i="25" s="1"/>
  <c r="P264" i="25"/>
  <c r="Q264" i="25" s="1"/>
  <c r="P312" i="25"/>
  <c r="Q312" i="25" s="1"/>
  <c r="P328" i="25"/>
  <c r="R328" i="25" s="1"/>
  <c r="P255" i="25"/>
  <c r="Q255" i="25" s="1"/>
  <c r="F102" i="41"/>
  <c r="P108" i="25"/>
  <c r="R108" i="25" s="1"/>
  <c r="P275" i="25"/>
  <c r="R275" i="25" s="1"/>
  <c r="P196" i="25"/>
  <c r="R196" i="25" s="1"/>
  <c r="P226" i="25"/>
  <c r="Q226" i="25" s="1"/>
  <c r="F74" i="41"/>
  <c r="S96" i="25"/>
  <c r="W96" i="25" s="1"/>
  <c r="S104" i="25"/>
  <c r="X104" i="25" s="1"/>
  <c r="S69" i="25"/>
  <c r="W69" i="25" s="1"/>
  <c r="P279" i="25"/>
  <c r="Q279" i="25" s="1"/>
  <c r="P186" i="25"/>
  <c r="Q186" i="25" s="1"/>
  <c r="P123" i="25"/>
  <c r="R123" i="25" s="1"/>
  <c r="P159" i="25"/>
  <c r="R159" i="25" s="1"/>
  <c r="P133" i="25"/>
  <c r="Q133" i="25" s="1"/>
  <c r="P274" i="25"/>
  <c r="Q274" i="25" s="1"/>
  <c r="P102" i="25"/>
  <c r="Q102" i="25" s="1"/>
  <c r="P197" i="25"/>
  <c r="R197" i="25" s="1"/>
  <c r="P128" i="25"/>
  <c r="Q128" i="25" s="1"/>
  <c r="P276" i="25"/>
  <c r="Q276" i="25" s="1"/>
  <c r="P346" i="25"/>
  <c r="Q346" i="25" s="1"/>
  <c r="P114" i="25"/>
  <c r="Q114" i="25" s="1"/>
  <c r="P124" i="25"/>
  <c r="Q124" i="25" s="1"/>
  <c r="P232" i="25"/>
  <c r="Q232" i="25" s="1"/>
  <c r="P117" i="25"/>
  <c r="Q117" i="25" s="1"/>
  <c r="P199" i="25"/>
  <c r="Q199" i="25" s="1"/>
  <c r="P125" i="25"/>
  <c r="Q125" i="25" s="1"/>
  <c r="P161" i="25"/>
  <c r="R161" i="25" s="1"/>
  <c r="P208" i="25"/>
  <c r="R208" i="25" s="1"/>
  <c r="P311" i="25"/>
  <c r="R311" i="25" s="1"/>
  <c r="P278" i="25"/>
  <c r="Q278" i="25" s="1"/>
  <c r="P218" i="25"/>
  <c r="Q218" i="25" s="1"/>
  <c r="P277" i="25"/>
  <c r="Q277" i="25" s="1"/>
  <c r="P306" i="25"/>
  <c r="Q306" i="25" s="1"/>
  <c r="P243" i="25"/>
  <c r="R243" i="25" s="1"/>
  <c r="P333" i="25"/>
  <c r="R333" i="25" s="1"/>
  <c r="P184" i="25"/>
  <c r="Q184" i="25" s="1"/>
  <c r="P127" i="25"/>
  <c r="Q127" i="25" s="1"/>
  <c r="P343" i="25"/>
  <c r="Q343" i="25" s="1"/>
  <c r="P247" i="25"/>
  <c r="Q247" i="25" s="1"/>
  <c r="P355" i="25"/>
  <c r="Q355" i="25" s="1"/>
  <c r="P202" i="25"/>
  <c r="Q202" i="25" s="1"/>
  <c r="P147" i="25"/>
  <c r="R147" i="25" s="1"/>
  <c r="P163" i="25"/>
  <c r="R163" i="25" s="1"/>
  <c r="P176" i="25"/>
  <c r="Q176" i="25" s="1"/>
  <c r="P257" i="25"/>
  <c r="R257" i="25" s="1"/>
  <c r="P307" i="25"/>
  <c r="Q307" i="25" s="1"/>
  <c r="F35" i="41"/>
  <c r="P140" i="25"/>
  <c r="Q140" i="25" s="1"/>
  <c r="P119" i="25"/>
  <c r="Q119" i="25" s="1"/>
  <c r="P167" i="25"/>
  <c r="Q167" i="25" s="1"/>
  <c r="P126" i="25"/>
  <c r="R126" i="25" s="1"/>
  <c r="P130" i="25"/>
  <c r="R130" i="25" s="1"/>
  <c r="P305" i="25"/>
  <c r="R305" i="25" s="1"/>
  <c r="F107" i="41"/>
  <c r="P135" i="25"/>
  <c r="R135" i="25" s="1"/>
  <c r="P213" i="25"/>
  <c r="Q213" i="25" s="1"/>
  <c r="P263" i="25"/>
  <c r="Q263" i="25" s="1"/>
  <c r="P211" i="25"/>
  <c r="P340" i="25"/>
  <c r="Q340" i="25" s="1"/>
  <c r="P194" i="25"/>
  <c r="Q194" i="25" s="1"/>
  <c r="P203" i="25"/>
  <c r="R203" i="25" s="1"/>
  <c r="P356" i="25"/>
  <c r="R356" i="25" s="1"/>
  <c r="F44" i="41"/>
  <c r="P118" i="25"/>
  <c r="Q118" i="25" s="1"/>
  <c r="F99" i="41"/>
  <c r="P353" i="25"/>
  <c r="R353" i="25" s="1"/>
  <c r="P55" i="25"/>
  <c r="R55" i="25" s="1"/>
  <c r="P153" i="25"/>
  <c r="R153" i="25" s="1"/>
  <c r="P240" i="25"/>
  <c r="R240" i="25" s="1"/>
  <c r="P181" i="25"/>
  <c r="Q181" i="25" s="1"/>
  <c r="P190" i="25"/>
  <c r="R190" i="25" s="1"/>
  <c r="P327" i="25"/>
  <c r="Q327" i="25" s="1"/>
  <c r="P210" i="25"/>
  <c r="Q210" i="25" s="1"/>
  <c r="P268" i="25"/>
  <c r="Q268" i="25" s="1"/>
  <c r="P321" i="25"/>
  <c r="R321" i="25" s="1"/>
  <c r="P289" i="25"/>
  <c r="P288" i="25"/>
  <c r="Q288" i="25" s="1"/>
  <c r="P142" i="25"/>
  <c r="Q142" i="25" s="1"/>
  <c r="P229" i="25"/>
  <c r="R229" i="25" s="1"/>
  <c r="P309" i="25"/>
  <c r="Q309" i="25" s="1"/>
  <c r="F97" i="41"/>
  <c r="P292" i="25"/>
  <c r="Q292" i="25" s="1"/>
  <c r="P324" i="25"/>
  <c r="R324" i="25" s="1"/>
  <c r="P223" i="25"/>
  <c r="Q223" i="25" s="1"/>
  <c r="F105" i="41"/>
  <c r="P225" i="25"/>
  <c r="Q225" i="25" s="1"/>
  <c r="P269" i="25"/>
  <c r="P286" i="25"/>
  <c r="R286" i="25" s="1"/>
  <c r="P165" i="25"/>
  <c r="Q165" i="25" s="1"/>
  <c r="P349" i="25"/>
  <c r="R349" i="25" s="1"/>
  <c r="P265" i="25"/>
  <c r="R265" i="25" s="1"/>
  <c r="P304" i="25"/>
  <c r="R304" i="25" s="1"/>
  <c r="P220" i="25"/>
  <c r="P174" i="25"/>
  <c r="Q174" i="25" s="1"/>
  <c r="P345" i="25"/>
  <c r="Q345" i="25" s="1"/>
  <c r="P131" i="25"/>
  <c r="R131" i="25" s="1"/>
  <c r="P341" i="25"/>
  <c r="R341" i="25" s="1"/>
  <c r="P259" i="25"/>
  <c r="R259" i="25" s="1"/>
  <c r="F53" i="41"/>
  <c r="P141" i="25"/>
  <c r="Q141" i="25" s="1"/>
  <c r="P120" i="25"/>
  <c r="Q120" i="25" s="1"/>
  <c r="P156" i="25"/>
  <c r="R156" i="25" s="1"/>
  <c r="P185" i="25"/>
  <c r="Q185" i="25" s="1"/>
  <c r="P122" i="25"/>
  <c r="Q122" i="25" s="1"/>
  <c r="P158" i="25"/>
  <c r="Q158" i="25" s="1"/>
  <c r="P171" i="25"/>
  <c r="R171" i="25" s="1"/>
  <c r="P183" i="25"/>
  <c r="R183" i="25" s="1"/>
  <c r="P291" i="25"/>
  <c r="Q291" i="25" s="1"/>
  <c r="P319" i="25"/>
  <c r="R319" i="25" s="1"/>
  <c r="P246" i="25"/>
  <c r="Q246" i="25" s="1"/>
  <c r="P273" i="25"/>
  <c r="R273" i="25" s="1"/>
  <c r="P244" i="25"/>
  <c r="P354" i="25"/>
  <c r="R354" i="25" s="1"/>
  <c r="P297" i="25"/>
  <c r="Q297" i="25" s="1"/>
  <c r="P233" i="25"/>
  <c r="R233" i="25" s="1"/>
  <c r="P314" i="25"/>
  <c r="P351" i="25"/>
  <c r="P299" i="25"/>
  <c r="Q299" i="25" s="1"/>
  <c r="F65" i="41"/>
  <c r="P252" i="25"/>
  <c r="Q252" i="25" s="1"/>
  <c r="P350" i="25"/>
  <c r="R350" i="25" s="1"/>
  <c r="P152" i="25"/>
  <c r="R152" i="25" s="1"/>
  <c r="P334" i="25"/>
  <c r="Q334" i="25" s="1"/>
  <c r="P303" i="25"/>
  <c r="Q303" i="25" s="1"/>
  <c r="P209" i="25"/>
  <c r="Q209" i="25" s="1"/>
  <c r="P262" i="25"/>
  <c r="F38" i="41"/>
  <c r="P330" i="25"/>
  <c r="R330" i="25" s="1"/>
  <c r="P251" i="25"/>
  <c r="Q251" i="25" s="1"/>
  <c r="F80" i="41"/>
  <c r="P145" i="25"/>
  <c r="R145" i="25" s="1"/>
  <c r="P148" i="25"/>
  <c r="R148" i="25" s="1"/>
  <c r="P180" i="25"/>
  <c r="R180" i="25" s="1"/>
  <c r="P129" i="25"/>
  <c r="R129" i="25" s="1"/>
  <c r="P235" i="25"/>
  <c r="Q235" i="25" s="1"/>
  <c r="P318" i="25"/>
  <c r="Q318" i="25" s="1"/>
  <c r="P320" i="25"/>
  <c r="R320" i="25" s="1"/>
  <c r="P272" i="25"/>
  <c r="Q272" i="25" s="1"/>
  <c r="P222" i="25"/>
  <c r="Q222" i="25" s="1"/>
  <c r="P236" i="25"/>
  <c r="R236" i="25" s="1"/>
  <c r="P216" i="25"/>
  <c r="Q216" i="25" s="1"/>
  <c r="P207" i="25"/>
  <c r="Q207" i="25" s="1"/>
  <c r="P322" i="25"/>
  <c r="Q322" i="25" s="1"/>
  <c r="P224" i="25"/>
  <c r="Q224" i="25" s="1"/>
  <c r="F89" i="41"/>
  <c r="F112" i="41"/>
  <c r="P214" i="25"/>
  <c r="F59" i="41"/>
  <c r="P338" i="25"/>
  <c r="R338" i="25" s="1"/>
  <c r="P164" i="25"/>
  <c r="P271" i="25"/>
  <c r="P348" i="25"/>
  <c r="P282" i="25"/>
  <c r="P139" i="25"/>
  <c r="F71" i="41"/>
  <c r="F106" i="41"/>
  <c r="P91" i="25"/>
  <c r="R91" i="25" s="1"/>
  <c r="P162" i="25"/>
  <c r="R162" i="25" s="1"/>
  <c r="P294" i="25"/>
  <c r="R294" i="25" s="1"/>
  <c r="P206" i="25"/>
  <c r="P173" i="25"/>
  <c r="R173" i="25" s="1"/>
  <c r="F77" i="41"/>
  <c r="P296" i="25"/>
  <c r="F41" i="41"/>
  <c r="P281" i="25"/>
  <c r="Q281" i="25" s="1"/>
  <c r="P188" i="25"/>
  <c r="Q188" i="25" s="1"/>
  <c r="P329" i="25"/>
  <c r="R329" i="25" s="1"/>
  <c r="P293" i="25"/>
  <c r="Q293" i="25" s="1"/>
  <c r="P151" i="25"/>
  <c r="P200" i="25"/>
  <c r="P219" i="25"/>
  <c r="R219" i="25" s="1"/>
  <c r="P191" i="25"/>
  <c r="F111" i="41"/>
  <c r="P260" i="25"/>
  <c r="P298" i="25"/>
  <c r="P99" i="25"/>
  <c r="P111" i="25"/>
  <c r="P332" i="25"/>
  <c r="P254" i="25"/>
  <c r="Q254" i="25" s="1"/>
  <c r="P101" i="25"/>
  <c r="P113" i="25"/>
  <c r="P103" i="25"/>
  <c r="P335" i="25"/>
  <c r="R335" i="25" s="1"/>
  <c r="P308" i="25"/>
  <c r="R308" i="25" s="1"/>
  <c r="P179" i="25"/>
  <c r="R179" i="25" s="1"/>
  <c r="P237" i="25"/>
  <c r="R237" i="25" s="1"/>
  <c r="P258" i="25"/>
  <c r="P107" i="25"/>
  <c r="P344" i="25"/>
  <c r="P97" i="25"/>
  <c r="P109" i="25"/>
  <c r="P204" i="25"/>
  <c r="Q204" i="25" s="1"/>
  <c r="P227" i="25"/>
  <c r="R227" i="25" s="1"/>
  <c r="P347" i="25"/>
  <c r="Q347" i="25" s="1"/>
  <c r="P61" i="25"/>
  <c r="P46" i="25"/>
  <c r="P82" i="25"/>
  <c r="F104" i="41"/>
  <c r="P106" i="25"/>
  <c r="P302" i="25"/>
  <c r="P241" i="25"/>
  <c r="P317" i="25"/>
  <c r="P215" i="25"/>
  <c r="P326" i="25"/>
  <c r="F108" i="41"/>
  <c r="P67" i="25"/>
  <c r="F50" i="41"/>
  <c r="P52" i="25"/>
  <c r="F86" i="41"/>
  <c r="P88" i="25"/>
  <c r="P170" i="25"/>
  <c r="E20" i="46"/>
  <c r="F56" i="41"/>
  <c r="P58" i="25"/>
  <c r="F92" i="41"/>
  <c r="P94" i="25"/>
  <c r="P110" i="25"/>
  <c r="P182" i="25"/>
  <c r="P230" i="25"/>
  <c r="P15" i="36"/>
  <c r="N11" i="36"/>
  <c r="E15" i="46"/>
  <c r="P43" i="25"/>
  <c r="P79" i="25"/>
  <c r="P64" i="25"/>
  <c r="P100" i="25"/>
  <c r="P112" i="25"/>
  <c r="F98" i="41"/>
  <c r="F113" i="41"/>
  <c r="P285" i="25"/>
  <c r="E19" i="46"/>
  <c r="F47" i="41"/>
  <c r="P49" i="25"/>
  <c r="F83" i="41"/>
  <c r="P85" i="25"/>
  <c r="F68" i="41"/>
  <c r="P70" i="25"/>
  <c r="P17" i="36"/>
  <c r="E17" i="46"/>
  <c r="E16" i="46"/>
  <c r="F100" i="41"/>
  <c r="P195" i="25"/>
  <c r="R195" i="25" s="1"/>
  <c r="P189" i="25"/>
  <c r="Q189" i="25" s="1"/>
  <c r="P290" i="25"/>
  <c r="R290" i="25" s="1"/>
  <c r="P40" i="25"/>
  <c r="P76" i="25"/>
  <c r="P104" i="25"/>
  <c r="P266" i="25"/>
  <c r="F40" i="41"/>
  <c r="P42" i="25"/>
  <c r="F58" i="41"/>
  <c r="P60" i="25"/>
  <c r="F76" i="41"/>
  <c r="P78" i="25"/>
  <c r="F94" i="41"/>
  <c r="P96" i="25"/>
  <c r="F42" i="41"/>
  <c r="P44" i="25"/>
  <c r="F60" i="41"/>
  <c r="P62" i="25"/>
  <c r="F78" i="41"/>
  <c r="P80" i="25"/>
  <c r="F96" i="41"/>
  <c r="P98" i="25"/>
  <c r="E103" i="41"/>
  <c r="P105" i="25"/>
  <c r="S93" i="25"/>
  <c r="X93" i="25" s="1"/>
  <c r="S70" i="25"/>
  <c r="Y70" i="25" s="1"/>
  <c r="S97" i="25"/>
  <c r="Y97" i="25" s="1"/>
  <c r="S85" i="25"/>
  <c r="Y85" i="25" s="1"/>
  <c r="S112" i="25"/>
  <c r="Y112" i="25" s="1"/>
  <c r="F43" i="41"/>
  <c r="P45" i="25"/>
  <c r="F61" i="41"/>
  <c r="P63" i="25"/>
  <c r="F79" i="41"/>
  <c r="P81" i="25"/>
  <c r="F45" i="41"/>
  <c r="P47" i="25"/>
  <c r="F63" i="41"/>
  <c r="P65" i="25"/>
  <c r="F81" i="41"/>
  <c r="P83" i="25"/>
  <c r="S82" i="25"/>
  <c r="Y82" i="25" s="1"/>
  <c r="S109" i="25"/>
  <c r="Y109" i="25" s="1"/>
  <c r="S102" i="25"/>
  <c r="X102" i="25" s="1"/>
  <c r="S86" i="25"/>
  <c r="W86" i="25" s="1"/>
  <c r="S74" i="25"/>
  <c r="X74" i="25" s="1"/>
  <c r="S101" i="25"/>
  <c r="X101" i="25" s="1"/>
  <c r="F46" i="41"/>
  <c r="P48" i="25"/>
  <c r="F64" i="41"/>
  <c r="P66" i="25"/>
  <c r="F82" i="41"/>
  <c r="P84" i="25"/>
  <c r="F48" i="41"/>
  <c r="P50" i="25"/>
  <c r="F66" i="41"/>
  <c r="P68" i="25"/>
  <c r="F84" i="41"/>
  <c r="P86" i="25"/>
  <c r="S111" i="25"/>
  <c r="X111" i="25" s="1"/>
  <c r="S88" i="25"/>
  <c r="Y88" i="25" s="1"/>
  <c r="S76" i="25"/>
  <c r="Y76" i="25" s="1"/>
  <c r="S103" i="25"/>
  <c r="Y103" i="25" s="1"/>
  <c r="S115" i="25"/>
  <c r="W115" i="25" s="1"/>
  <c r="E11" i="27"/>
  <c r="F49" i="41"/>
  <c r="P51" i="25"/>
  <c r="F67" i="41"/>
  <c r="P69" i="25"/>
  <c r="F85" i="41"/>
  <c r="P87" i="25"/>
  <c r="F33" i="41"/>
  <c r="P35" i="25"/>
  <c r="F51" i="41"/>
  <c r="P53" i="25"/>
  <c r="F69" i="41"/>
  <c r="P71" i="25"/>
  <c r="F87" i="41"/>
  <c r="P89" i="25"/>
  <c r="S91" i="25"/>
  <c r="Y91" i="25" s="1"/>
  <c r="S66" i="25"/>
  <c r="X66" i="25" s="1"/>
  <c r="S77" i="25"/>
  <c r="W77" i="25" s="1"/>
  <c r="S92" i="25"/>
  <c r="X92" i="25" s="1"/>
  <c r="W6" i="25"/>
  <c r="G11" i="25" s="1"/>
  <c r="H11" i="25" s="1"/>
  <c r="C2" i="36" s="1"/>
  <c r="F34" i="41"/>
  <c r="P36" i="25"/>
  <c r="F52" i="41"/>
  <c r="P54" i="25"/>
  <c r="F70" i="41"/>
  <c r="P72" i="25"/>
  <c r="F88" i="41"/>
  <c r="P90" i="25"/>
  <c r="F36" i="41"/>
  <c r="P38" i="25"/>
  <c r="F54" i="41"/>
  <c r="P56" i="25"/>
  <c r="F72" i="41"/>
  <c r="P74" i="25"/>
  <c r="F90" i="41"/>
  <c r="P92" i="25"/>
  <c r="E55" i="41"/>
  <c r="F55" i="41" s="1"/>
  <c r="S75" i="25"/>
  <c r="X75" i="25" s="1"/>
  <c r="S79" i="25"/>
  <c r="Y79" i="25" s="1"/>
  <c r="S106" i="25"/>
  <c r="Y106" i="25" s="1"/>
  <c r="S67" i="25"/>
  <c r="Y67" i="25" s="1"/>
  <c r="S94" i="25"/>
  <c r="Y94" i="25" s="1"/>
  <c r="E12" i="27"/>
  <c r="F37" i="41"/>
  <c r="P39" i="25"/>
  <c r="P57" i="25"/>
  <c r="F73" i="41"/>
  <c r="P75" i="25"/>
  <c r="F91" i="41"/>
  <c r="P93" i="25"/>
  <c r="F39" i="41"/>
  <c r="P41" i="25"/>
  <c r="F57" i="41"/>
  <c r="P59" i="25"/>
  <c r="F75" i="41"/>
  <c r="P77" i="25"/>
  <c r="F93" i="41"/>
  <c r="P95" i="25"/>
  <c r="S73" i="25"/>
  <c r="Y73" i="25" s="1"/>
  <c r="S100" i="25"/>
  <c r="Y100" i="25" s="1"/>
  <c r="S84" i="25"/>
  <c r="X84" i="25" s="1"/>
  <c r="S68" i="25"/>
  <c r="W68" i="25" s="1"/>
  <c r="S95" i="25"/>
  <c r="S83" i="25"/>
  <c r="X83" i="25" s="1"/>
  <c r="S110" i="25"/>
  <c r="X110" i="25" s="1"/>
  <c r="F25" i="47" l="1"/>
  <c r="K28" i="36"/>
  <c r="K25" i="25"/>
  <c r="K32" i="25"/>
  <c r="P28" i="51"/>
  <c r="N36" i="41" s="1"/>
  <c r="P96" i="51"/>
  <c r="N104" i="41" s="1"/>
  <c r="O79" i="51"/>
  <c r="I87" i="41" s="1"/>
  <c r="Q33" i="51"/>
  <c r="S41" i="41" s="1"/>
  <c r="R79" i="51"/>
  <c r="Z87" i="41" s="1"/>
  <c r="R93" i="51"/>
  <c r="Z101" i="41" s="1"/>
  <c r="Q93" i="51"/>
  <c r="S101" i="41" s="1"/>
  <c r="R33" i="51"/>
  <c r="Z41" i="41" s="1"/>
  <c r="P79" i="51"/>
  <c r="N87" i="41" s="1"/>
  <c r="P34" i="51"/>
  <c r="N42" i="41" s="1"/>
  <c r="O53" i="51"/>
  <c r="I61" i="41" s="1"/>
  <c r="P84" i="51"/>
  <c r="N92" i="41" s="1"/>
  <c r="P55" i="51"/>
  <c r="N63" i="41" s="1"/>
  <c r="Q61" i="51"/>
  <c r="S69" i="41" s="1"/>
  <c r="O93" i="51"/>
  <c r="I101" i="41" s="1"/>
  <c r="P33" i="51"/>
  <c r="N41" i="41" s="1"/>
  <c r="O56" i="51"/>
  <c r="I64" i="41" s="1"/>
  <c r="R35" i="51"/>
  <c r="Z43" i="41" s="1"/>
  <c r="R77" i="51"/>
  <c r="Z85" i="41" s="1"/>
  <c r="O55" i="51"/>
  <c r="I63" i="41" s="1"/>
  <c r="R84" i="51"/>
  <c r="Z92" i="41" s="1"/>
  <c r="Q44" i="51"/>
  <c r="S52" i="41" s="1"/>
  <c r="P70" i="51"/>
  <c r="N78" i="41" s="1"/>
  <c r="R34" i="51"/>
  <c r="Z42" i="41" s="1"/>
  <c r="Q101" i="51"/>
  <c r="S109" i="41" s="1"/>
  <c r="P26" i="51"/>
  <c r="N34" i="41" s="1"/>
  <c r="P40" i="51"/>
  <c r="N48" i="41" s="1"/>
  <c r="R90" i="51"/>
  <c r="Z98" i="41" s="1"/>
  <c r="R71" i="51"/>
  <c r="Z79" i="41" s="1"/>
  <c r="P54" i="51"/>
  <c r="N62" i="41" s="1"/>
  <c r="Q96" i="51"/>
  <c r="S104" i="41" s="1"/>
  <c r="Q36" i="51"/>
  <c r="S44" i="41" s="1"/>
  <c r="O71" i="51"/>
  <c r="I79" i="41" s="1"/>
  <c r="Q54" i="51"/>
  <c r="S62" i="41" s="1"/>
  <c r="Q26" i="51"/>
  <c r="S34" i="41" s="1"/>
  <c r="R43" i="51"/>
  <c r="Z51" i="41" s="1"/>
  <c r="R66" i="51"/>
  <c r="Z74" i="41" s="1"/>
  <c r="Q40" i="51"/>
  <c r="S48" i="41" s="1"/>
  <c r="R49" i="51"/>
  <c r="Z57" i="41" s="1"/>
  <c r="Q38" i="51"/>
  <c r="S46" i="41" s="1"/>
  <c r="P27" i="51"/>
  <c r="N35" i="41" s="1"/>
  <c r="O40" i="51"/>
  <c r="I48" i="41" s="1"/>
  <c r="P53" i="51"/>
  <c r="N61" i="41" s="1"/>
  <c r="P90" i="51"/>
  <c r="N98" i="41" s="1"/>
  <c r="O54" i="51"/>
  <c r="I62" i="41" s="1"/>
  <c r="P39" i="51"/>
  <c r="N47" i="41" s="1"/>
  <c r="P44" i="51"/>
  <c r="N52" i="41" s="1"/>
  <c r="O26" i="51"/>
  <c r="I34" i="41" s="1"/>
  <c r="Q69" i="51"/>
  <c r="S77" i="41" s="1"/>
  <c r="Q27" i="51"/>
  <c r="S35" i="41" s="1"/>
  <c r="O90" i="51"/>
  <c r="I98" i="41" s="1"/>
  <c r="R44" i="51"/>
  <c r="Z52" i="41" s="1"/>
  <c r="P69" i="51"/>
  <c r="N77" i="41" s="1"/>
  <c r="R27" i="51"/>
  <c r="Z35" i="41" s="1"/>
  <c r="P71" i="51"/>
  <c r="N79" i="41" s="1"/>
  <c r="R96" i="51"/>
  <c r="Z104" i="41" s="1"/>
  <c r="Q85" i="51"/>
  <c r="S93" i="41" s="1"/>
  <c r="R52" i="51"/>
  <c r="Z60" i="41" s="1"/>
  <c r="P46" i="51"/>
  <c r="N54" i="41" s="1"/>
  <c r="O66" i="51"/>
  <c r="I74" i="41" s="1"/>
  <c r="P48" i="51"/>
  <c r="N56" i="41" s="1"/>
  <c r="P63" i="51"/>
  <c r="N71" i="41" s="1"/>
  <c r="Q81" i="51"/>
  <c r="S89" i="41" s="1"/>
  <c r="Q73" i="51"/>
  <c r="S81" i="41" s="1"/>
  <c r="O45" i="51"/>
  <c r="I53" i="41" s="1"/>
  <c r="P30" i="51"/>
  <c r="N38" i="41" s="1"/>
  <c r="P97" i="51"/>
  <c r="N105" i="41" s="1"/>
  <c r="R72" i="51"/>
  <c r="Z80" i="41" s="1"/>
  <c r="P77" i="51"/>
  <c r="N85" i="41" s="1"/>
  <c r="O101" i="51"/>
  <c r="I109" i="41" s="1"/>
  <c r="O57" i="51"/>
  <c r="I65" i="41" s="1"/>
  <c r="O77" i="51"/>
  <c r="I85" i="41" s="1"/>
  <c r="R57" i="51"/>
  <c r="Z65" i="41" s="1"/>
  <c r="O42" i="51"/>
  <c r="I50" i="41" s="1"/>
  <c r="P89" i="51"/>
  <c r="N97" i="41" s="1"/>
  <c r="P73" i="51"/>
  <c r="N81" i="41" s="1"/>
  <c r="Q68" i="51"/>
  <c r="S76" i="41" s="1"/>
  <c r="O99" i="51"/>
  <c r="I107" i="41" s="1"/>
  <c r="P95" i="51"/>
  <c r="N103" i="41" s="1"/>
  <c r="R45" i="51"/>
  <c r="Z53" i="41" s="1"/>
  <c r="R30" i="51"/>
  <c r="Z38" i="41" s="1"/>
  <c r="O73" i="51"/>
  <c r="I81" i="41" s="1"/>
  <c r="Q87" i="51"/>
  <c r="S95" i="41" s="1"/>
  <c r="O95" i="51"/>
  <c r="I103" i="41" s="1"/>
  <c r="Q97" i="51"/>
  <c r="S105" i="41" s="1"/>
  <c r="P45" i="51"/>
  <c r="N53" i="41" s="1"/>
  <c r="Q30" i="51"/>
  <c r="S38" i="41" s="1"/>
  <c r="R68" i="51"/>
  <c r="Z76" i="41" s="1"/>
  <c r="R99" i="51"/>
  <c r="Z107" i="41" s="1"/>
  <c r="O97" i="51"/>
  <c r="I105" i="41" s="1"/>
  <c r="P81" i="51"/>
  <c r="N89" i="41" s="1"/>
  <c r="P68" i="51"/>
  <c r="N76" i="41" s="1"/>
  <c r="Q99" i="51"/>
  <c r="S107" i="41" s="1"/>
  <c r="R81" i="51"/>
  <c r="Z89" i="41" s="1"/>
  <c r="H34" i="25"/>
  <c r="M24" i="51" s="1"/>
  <c r="R88" i="51"/>
  <c r="Z96" i="41" s="1"/>
  <c r="R58" i="51"/>
  <c r="Z66" i="41" s="1"/>
  <c r="Q104" i="51"/>
  <c r="S112" i="41" s="1"/>
  <c r="Q102" i="51"/>
  <c r="S110" i="41" s="1"/>
  <c r="P62" i="51"/>
  <c r="N70" i="41" s="1"/>
  <c r="O72" i="51"/>
  <c r="I80" i="41" s="1"/>
  <c r="R25" i="51"/>
  <c r="Z33" i="41" s="1"/>
  <c r="P58" i="51"/>
  <c r="N66" i="41" s="1"/>
  <c r="Q53" i="51"/>
  <c r="S61" i="41" s="1"/>
  <c r="O102" i="51"/>
  <c r="I110" i="41" s="1"/>
  <c r="P88" i="51"/>
  <c r="N96" i="41" s="1"/>
  <c r="Q52" i="51"/>
  <c r="S60" i="41" s="1"/>
  <c r="O39" i="51"/>
  <c r="I47" i="41" s="1"/>
  <c r="Q62" i="51"/>
  <c r="S70" i="41" s="1"/>
  <c r="O28" i="51"/>
  <c r="I36" i="41" s="1"/>
  <c r="P76" i="51"/>
  <c r="N84" i="41" s="1"/>
  <c r="Q58" i="51"/>
  <c r="S66" i="41" s="1"/>
  <c r="R102" i="51"/>
  <c r="Z110" i="41" s="1"/>
  <c r="Q88" i="51"/>
  <c r="S96" i="41" s="1"/>
  <c r="O52" i="51"/>
  <c r="I60" i="41" s="1"/>
  <c r="R39" i="51"/>
  <c r="Z47" i="41" s="1"/>
  <c r="P41" i="51"/>
  <c r="N49" i="41" s="1"/>
  <c r="O62" i="51"/>
  <c r="I70" i="41" s="1"/>
  <c r="R28" i="51"/>
  <c r="Z36" i="41" s="1"/>
  <c r="Q76" i="51"/>
  <c r="S84" i="41" s="1"/>
  <c r="Q41" i="51"/>
  <c r="S49" i="41" s="1"/>
  <c r="P72" i="51"/>
  <c r="N80" i="41" s="1"/>
  <c r="R91" i="51"/>
  <c r="Z99" i="41" s="1"/>
  <c r="O76" i="51"/>
  <c r="I84" i="41" s="1"/>
  <c r="O41" i="51"/>
  <c r="I49" i="41" s="1"/>
  <c r="R32" i="51"/>
  <c r="Z40" i="41" s="1"/>
  <c r="P83" i="51"/>
  <c r="N91" i="41" s="1"/>
  <c r="Q43" i="51"/>
  <c r="S51" i="41" s="1"/>
  <c r="P56" i="51"/>
  <c r="N64" i="41" s="1"/>
  <c r="Q86" i="51"/>
  <c r="S94" i="41" s="1"/>
  <c r="Q35" i="51"/>
  <c r="S43" i="41" s="1"/>
  <c r="O37" i="51"/>
  <c r="I45" i="41" s="1"/>
  <c r="R70" i="51"/>
  <c r="Z78" i="41" s="1"/>
  <c r="Q83" i="51"/>
  <c r="S91" i="41" s="1"/>
  <c r="Q47" i="51"/>
  <c r="S55" i="41" s="1"/>
  <c r="P42" i="51"/>
  <c r="N50" i="41" s="1"/>
  <c r="R59" i="51"/>
  <c r="Z67" i="41" s="1"/>
  <c r="R85" i="51"/>
  <c r="Z93" i="41" s="1"/>
  <c r="Q78" i="51"/>
  <c r="S86" i="41" s="1"/>
  <c r="O36" i="51"/>
  <c r="I44" i="41" s="1"/>
  <c r="Q32" i="51"/>
  <c r="S40" i="41" s="1"/>
  <c r="P43" i="51"/>
  <c r="N51" i="41" s="1"/>
  <c r="Q56" i="51"/>
  <c r="S64" i="41" s="1"/>
  <c r="O35" i="51"/>
  <c r="I43" i="41" s="1"/>
  <c r="R37" i="51"/>
  <c r="Z45" i="41" s="1"/>
  <c r="Q57" i="51"/>
  <c r="S65" i="41" s="1"/>
  <c r="Q70" i="51"/>
  <c r="S78" i="41" s="1"/>
  <c r="R83" i="51"/>
  <c r="Z91" i="41" s="1"/>
  <c r="R47" i="51"/>
  <c r="Z55" i="41" s="1"/>
  <c r="Q42" i="51"/>
  <c r="S50" i="41" s="1"/>
  <c r="O59" i="51"/>
  <c r="I67" i="41" s="1"/>
  <c r="Q49" i="51"/>
  <c r="S57" i="41" s="1"/>
  <c r="R78" i="51"/>
  <c r="Z86" i="41" s="1"/>
  <c r="J24" i="51"/>
  <c r="K24" i="51"/>
  <c r="R24" i="51" s="1"/>
  <c r="I24" i="51"/>
  <c r="H24" i="51"/>
  <c r="R36" i="51"/>
  <c r="Z44" i="41" s="1"/>
  <c r="R61" i="51"/>
  <c r="Z69" i="41" s="1"/>
  <c r="P32" i="51"/>
  <c r="N40" i="41" s="1"/>
  <c r="Q34" i="51"/>
  <c r="S42" i="41" s="1"/>
  <c r="Q46" i="51"/>
  <c r="S54" i="41" s="1"/>
  <c r="P101" i="51"/>
  <c r="N109" i="41" s="1"/>
  <c r="R55" i="51"/>
  <c r="Z63" i="41" s="1"/>
  <c r="Q84" i="51"/>
  <c r="S92" i="41" s="1"/>
  <c r="P49" i="51"/>
  <c r="N57" i="41" s="1"/>
  <c r="O78" i="51"/>
  <c r="I86" i="41" s="1"/>
  <c r="J32" i="25"/>
  <c r="H32" i="25" s="1"/>
  <c r="R46" i="51"/>
  <c r="Z54" i="41" s="1"/>
  <c r="Q59" i="51"/>
  <c r="S67" i="41" s="1"/>
  <c r="P85" i="51"/>
  <c r="N93" i="41" s="1"/>
  <c r="P61" i="51"/>
  <c r="N69" i="41" s="1"/>
  <c r="P37" i="51"/>
  <c r="N45" i="41" s="1"/>
  <c r="P47" i="51"/>
  <c r="N55" i="41" s="1"/>
  <c r="R74" i="51"/>
  <c r="Z82" i="41" s="1"/>
  <c r="R86" i="51"/>
  <c r="Z94" i="41" s="1"/>
  <c r="O86" i="51"/>
  <c r="I94" i="41" s="1"/>
  <c r="R65" i="51"/>
  <c r="Z73" i="41" s="1"/>
  <c r="P65" i="51"/>
  <c r="N73" i="41" s="1"/>
  <c r="R103" i="51"/>
  <c r="Z111" i="41" s="1"/>
  <c r="Q65" i="51"/>
  <c r="S73" i="41" s="1"/>
  <c r="R100" i="51"/>
  <c r="Z108" i="41" s="1"/>
  <c r="Q103" i="51"/>
  <c r="S111" i="41" s="1"/>
  <c r="P94" i="51"/>
  <c r="N102" i="41" s="1"/>
  <c r="Q100" i="51"/>
  <c r="S108" i="41" s="1"/>
  <c r="P103" i="51"/>
  <c r="N111" i="41" s="1"/>
  <c r="R94" i="51"/>
  <c r="Z102" i="41" s="1"/>
  <c r="O100" i="51"/>
  <c r="I108" i="41" s="1"/>
  <c r="P74" i="51"/>
  <c r="N82" i="41" s="1"/>
  <c r="Q94" i="51"/>
  <c r="S102" i="41" s="1"/>
  <c r="Q74" i="51"/>
  <c r="S82" i="41" s="1"/>
  <c r="P91" i="51"/>
  <c r="N99" i="41" s="1"/>
  <c r="R104" i="51"/>
  <c r="Z112" i="41" s="1"/>
  <c r="R89" i="51"/>
  <c r="Z97" i="41" s="1"/>
  <c r="Q91" i="51"/>
  <c r="S99" i="41" s="1"/>
  <c r="O104" i="51"/>
  <c r="I112" i="41" s="1"/>
  <c r="O89" i="51"/>
  <c r="I97" i="41" s="1"/>
  <c r="Q75" i="51"/>
  <c r="S83" i="41" s="1"/>
  <c r="R75" i="51"/>
  <c r="Z83" i="41" s="1"/>
  <c r="P75" i="51"/>
  <c r="N83" i="41" s="1"/>
  <c r="R80" i="51"/>
  <c r="Z88" i="41" s="1"/>
  <c r="P29" i="51"/>
  <c r="N37" i="41" s="1"/>
  <c r="Q80" i="51"/>
  <c r="S88" i="41" s="1"/>
  <c r="O29" i="51"/>
  <c r="I37" i="41" s="1"/>
  <c r="P80" i="51"/>
  <c r="N88" i="41" s="1"/>
  <c r="R29" i="51"/>
  <c r="Z37" i="41" s="1"/>
  <c r="P31" i="51"/>
  <c r="N39" i="41" s="1"/>
  <c r="R69" i="51"/>
  <c r="Z77" i="41" s="1"/>
  <c r="P87" i="51"/>
  <c r="N95" i="41" s="1"/>
  <c r="Q48" i="51"/>
  <c r="S56" i="41" s="1"/>
  <c r="Q31" i="51"/>
  <c r="S39" i="41" s="1"/>
  <c r="O87" i="51"/>
  <c r="I95" i="41" s="1"/>
  <c r="O48" i="51"/>
  <c r="I56" i="41" s="1"/>
  <c r="O31" i="51"/>
  <c r="I39" i="41" s="1"/>
  <c r="R63" i="51"/>
  <c r="Z71" i="41" s="1"/>
  <c r="Q51" i="51"/>
  <c r="S59" i="41" s="1"/>
  <c r="P98" i="51"/>
  <c r="N106" i="41" s="1"/>
  <c r="R64" i="51"/>
  <c r="Z72" i="41" s="1"/>
  <c r="R50" i="51"/>
  <c r="Z58" i="41" s="1"/>
  <c r="R67" i="51"/>
  <c r="Z75" i="41" s="1"/>
  <c r="P51" i="51"/>
  <c r="N59" i="41" s="1"/>
  <c r="Q98" i="51"/>
  <c r="S106" i="41" s="1"/>
  <c r="P64" i="51"/>
  <c r="N72" i="41" s="1"/>
  <c r="O50" i="51"/>
  <c r="I58" i="41" s="1"/>
  <c r="P67" i="51"/>
  <c r="N75" i="41" s="1"/>
  <c r="O63" i="51"/>
  <c r="I71" i="41" s="1"/>
  <c r="O51" i="51"/>
  <c r="I59" i="41" s="1"/>
  <c r="R98" i="51"/>
  <c r="Z106" i="41" s="1"/>
  <c r="O64" i="51"/>
  <c r="I72" i="41" s="1"/>
  <c r="P50" i="51"/>
  <c r="N58" i="41" s="1"/>
  <c r="Q67" i="51"/>
  <c r="S75" i="41" s="1"/>
  <c r="R38" i="51"/>
  <c r="Z46" i="41" s="1"/>
  <c r="O60" i="51"/>
  <c r="I68" i="41" s="1"/>
  <c r="P38" i="51"/>
  <c r="N46" i="41" s="1"/>
  <c r="Q66" i="51"/>
  <c r="S74" i="41" s="1"/>
  <c r="R95" i="51"/>
  <c r="Z103" i="41" s="1"/>
  <c r="P25" i="51"/>
  <c r="N33" i="41" s="1"/>
  <c r="Q60" i="51"/>
  <c r="S68" i="41" s="1"/>
  <c r="P82" i="51"/>
  <c r="N90" i="41" s="1"/>
  <c r="Q82" i="51"/>
  <c r="S90" i="41" s="1"/>
  <c r="O82" i="51"/>
  <c r="I90" i="41" s="1"/>
  <c r="R105" i="51"/>
  <c r="Z113" i="41" s="1"/>
  <c r="P92" i="51"/>
  <c r="N100" i="41" s="1"/>
  <c r="Q105" i="51"/>
  <c r="S113" i="41" s="1"/>
  <c r="Q92" i="51"/>
  <c r="S100" i="41" s="1"/>
  <c r="O105" i="51"/>
  <c r="I113" i="41" s="1"/>
  <c r="R92" i="51"/>
  <c r="Z100" i="41" s="1"/>
  <c r="O25" i="51"/>
  <c r="I33" i="41" s="1"/>
  <c r="R60" i="51"/>
  <c r="Z68" i="41" s="1"/>
  <c r="H33" i="25"/>
  <c r="K29" i="36"/>
  <c r="P29" i="36"/>
  <c r="I26" i="25"/>
  <c r="J31" i="25"/>
  <c r="H31" i="25" s="1"/>
  <c r="W5" i="27"/>
  <c r="W6" i="27"/>
  <c r="W4" i="27"/>
  <c r="F7" i="27" s="1"/>
  <c r="I23" i="28"/>
  <c r="I29" i="28"/>
  <c r="I24" i="28"/>
  <c r="I18" i="28"/>
  <c r="I19" i="28"/>
  <c r="I25" i="28"/>
  <c r="I20" i="28"/>
  <c r="I26" i="28"/>
  <c r="I21" i="28"/>
  <c r="I27" i="28"/>
  <c r="I22" i="28"/>
  <c r="I28" i="28"/>
  <c r="J23" i="25"/>
  <c r="I60" i="28"/>
  <c r="P27" i="36"/>
  <c r="J30" i="25"/>
  <c r="H30" i="25" s="1"/>
  <c r="K27" i="36"/>
  <c r="K25" i="36"/>
  <c r="J28" i="25"/>
  <c r="H28" i="25" s="1"/>
  <c r="P26" i="36"/>
  <c r="K26" i="36"/>
  <c r="J29" i="25"/>
  <c r="H29" i="25" s="1"/>
  <c r="P25" i="36"/>
  <c r="N16" i="25"/>
  <c r="M16" i="25" s="1"/>
  <c r="E14" i="41" s="1"/>
  <c r="T9" i="24"/>
  <c r="C4" i="24"/>
  <c r="K19" i="36"/>
  <c r="C22" i="25" s="1"/>
  <c r="O22" i="25" s="1"/>
  <c r="P19" i="36"/>
  <c r="K16" i="36"/>
  <c r="C19" i="25" s="1"/>
  <c r="O19" i="25" s="1"/>
  <c r="J21" i="25"/>
  <c r="P16" i="36"/>
  <c r="J19" i="25"/>
  <c r="P23" i="36"/>
  <c r="K18" i="36"/>
  <c r="C21" i="25" s="1"/>
  <c r="O21" i="25" s="1"/>
  <c r="J22" i="25"/>
  <c r="G15" i="3"/>
  <c r="H29" i="3"/>
  <c r="H30" i="3"/>
  <c r="H28" i="3"/>
  <c r="H27" i="3"/>
  <c r="S47" i="25"/>
  <c r="W47" i="25" s="1"/>
  <c r="S65" i="25"/>
  <c r="X65" i="25" s="1"/>
  <c r="X289" i="25"/>
  <c r="W316" i="25"/>
  <c r="W289" i="25"/>
  <c r="W3" i="27"/>
  <c r="K14" i="36"/>
  <c r="C17" i="25" s="1"/>
  <c r="P18" i="36"/>
  <c r="N18" i="25"/>
  <c r="M18" i="25" s="1"/>
  <c r="E16" i="41" s="1"/>
  <c r="I19" i="25"/>
  <c r="K17" i="25"/>
  <c r="H17" i="25" s="1"/>
  <c r="I21" i="25"/>
  <c r="I18" i="25"/>
  <c r="H18" i="25" s="1"/>
  <c r="I22" i="25"/>
  <c r="C257" i="25"/>
  <c r="C266" i="25"/>
  <c r="C347" i="25"/>
  <c r="C49" i="25"/>
  <c r="C32" i="25"/>
  <c r="C229" i="25"/>
  <c r="C326" i="25"/>
  <c r="C260" i="25"/>
  <c r="C109" i="25"/>
  <c r="C255" i="25"/>
  <c r="C320" i="25"/>
  <c r="C313" i="25"/>
  <c r="C203" i="25"/>
  <c r="C63" i="25"/>
  <c r="C162" i="25"/>
  <c r="C352" i="25"/>
  <c r="C51" i="25"/>
  <c r="C168" i="25"/>
  <c r="C234" i="25"/>
  <c r="C228" i="25"/>
  <c r="C102" i="25"/>
  <c r="C87" i="25"/>
  <c r="C343" i="25"/>
  <c r="C256" i="25"/>
  <c r="C47" i="25"/>
  <c r="C104" i="25"/>
  <c r="C212" i="25"/>
  <c r="C349" i="25"/>
  <c r="C245" i="25"/>
  <c r="C300" i="25"/>
  <c r="C298" i="25"/>
  <c r="C356" i="25"/>
  <c r="C246" i="25"/>
  <c r="C187" i="25"/>
  <c r="C201" i="25"/>
  <c r="C62" i="25"/>
  <c r="C149" i="25"/>
  <c r="C305" i="25"/>
  <c r="C293" i="25"/>
  <c r="C253" i="25"/>
  <c r="C241" i="25"/>
  <c r="C183" i="25"/>
  <c r="C195" i="25"/>
  <c r="C351" i="25"/>
  <c r="C204" i="25"/>
  <c r="C130" i="25"/>
  <c r="C236" i="25"/>
  <c r="C42" i="25"/>
  <c r="C81" i="25"/>
  <c r="C175" i="25"/>
  <c r="C140" i="25"/>
  <c r="C284" i="25"/>
  <c r="C281" i="25"/>
  <c r="C263" i="25"/>
  <c r="C282" i="25"/>
  <c r="C185" i="25"/>
  <c r="C108" i="25"/>
  <c r="C318" i="25"/>
  <c r="C61" i="25"/>
  <c r="C306" i="25"/>
  <c r="C275" i="25"/>
  <c r="C68" i="25"/>
  <c r="C207" i="25"/>
  <c r="C34" i="25"/>
  <c r="C328" i="25"/>
  <c r="C268" i="25"/>
  <c r="C110" i="25"/>
  <c r="C181" i="25"/>
  <c r="C237" i="25"/>
  <c r="C43" i="25"/>
  <c r="C177" i="25"/>
  <c r="C301" i="25"/>
  <c r="C86" i="25"/>
  <c r="C38" i="25"/>
  <c r="C111" i="25"/>
  <c r="C290" i="25"/>
  <c r="C105" i="25"/>
  <c r="C173" i="25"/>
  <c r="C340" i="25"/>
  <c r="C280" i="25"/>
  <c r="C39" i="25"/>
  <c r="C134" i="25"/>
  <c r="C161" i="25"/>
  <c r="C235" i="25"/>
  <c r="C311" i="25"/>
  <c r="C48" i="25"/>
  <c r="C274" i="25"/>
  <c r="C350" i="25"/>
  <c r="C333" i="25"/>
  <c r="C244" i="25"/>
  <c r="C95" i="25"/>
  <c r="C58" i="25"/>
  <c r="C94" i="25"/>
  <c r="C182" i="25"/>
  <c r="C339" i="25"/>
  <c r="C314" i="25"/>
  <c r="C160" i="25"/>
  <c r="C355" i="25"/>
  <c r="C153" i="25"/>
  <c r="C31" i="25"/>
  <c r="C60" i="25"/>
  <c r="C136" i="25"/>
  <c r="C211" i="25"/>
  <c r="C159" i="25"/>
  <c r="C126" i="25"/>
  <c r="C146" i="25"/>
  <c r="C231" i="25"/>
  <c r="C267" i="25"/>
  <c r="C144" i="25"/>
  <c r="C276" i="25"/>
  <c r="C106" i="25"/>
  <c r="C210" i="25"/>
  <c r="C222" i="25"/>
  <c r="C310" i="25"/>
  <c r="C309" i="25"/>
  <c r="C288" i="25"/>
  <c r="C112" i="25"/>
  <c r="C238" i="25"/>
  <c r="C107" i="25"/>
  <c r="C99" i="25"/>
  <c r="C354" i="25"/>
  <c r="C170" i="25"/>
  <c r="C148" i="25"/>
  <c r="C330" i="25"/>
  <c r="C258" i="25"/>
  <c r="C240" i="25"/>
  <c r="C242" i="25"/>
  <c r="C121" i="25"/>
  <c r="C33" i="25"/>
  <c r="C216" i="25"/>
  <c r="C40" i="25"/>
  <c r="C299" i="25"/>
  <c r="C115" i="25"/>
  <c r="C90" i="25"/>
  <c r="C345" i="25"/>
  <c r="C93" i="25"/>
  <c r="C286" i="25"/>
  <c r="C72" i="25"/>
  <c r="C64" i="25"/>
  <c r="C156" i="25"/>
  <c r="C219" i="25"/>
  <c r="C196" i="25"/>
  <c r="C36" i="25"/>
  <c r="C279" i="25"/>
  <c r="C157" i="25"/>
  <c r="C294" i="25"/>
  <c r="C66" i="25"/>
  <c r="C342" i="25"/>
  <c r="C292" i="25"/>
  <c r="C65" i="25"/>
  <c r="C97" i="25"/>
  <c r="C70" i="25"/>
  <c r="C243" i="25"/>
  <c r="C265" i="25"/>
  <c r="C166" i="25"/>
  <c r="C199" i="25"/>
  <c r="C337" i="25"/>
  <c r="C198" i="25"/>
  <c r="C84" i="25"/>
  <c r="C76" i="25"/>
  <c r="C167" i="25"/>
  <c r="C262" i="25"/>
  <c r="C322" i="25"/>
  <c r="C218" i="25"/>
  <c r="C278" i="25"/>
  <c r="C315" i="25"/>
  <c r="C137" i="25"/>
  <c r="C190" i="25"/>
  <c r="C184" i="25"/>
  <c r="C227" i="25"/>
  <c r="C223" i="25"/>
  <c r="C191" i="25"/>
  <c r="C158" i="25"/>
  <c r="C73" i="25"/>
  <c r="C69" i="25"/>
  <c r="C325" i="25"/>
  <c r="C312" i="25"/>
  <c r="C224" i="25"/>
  <c r="C143" i="25"/>
  <c r="C30" i="25"/>
  <c r="C46" i="25"/>
  <c r="C194" i="25"/>
  <c r="C192" i="25"/>
  <c r="C96" i="25"/>
  <c r="C91" i="25"/>
  <c r="C164" i="25"/>
  <c r="C348" i="25"/>
  <c r="C344" i="25"/>
  <c r="C220" i="25"/>
  <c r="C41" i="25"/>
  <c r="C202" i="25"/>
  <c r="C332" i="25"/>
  <c r="C154" i="25"/>
  <c r="C133" i="25"/>
  <c r="C291" i="25"/>
  <c r="C226" i="25"/>
  <c r="C233" i="25"/>
  <c r="C165" i="25"/>
  <c r="C80" i="25"/>
  <c r="C113" i="25"/>
  <c r="C324" i="25"/>
  <c r="C215" i="25"/>
  <c r="C225" i="25"/>
  <c r="C55" i="25"/>
  <c r="C85" i="25"/>
  <c r="C150" i="25"/>
  <c r="C117" i="25"/>
  <c r="C88" i="25"/>
  <c r="C139" i="25"/>
  <c r="C82" i="25"/>
  <c r="C295" i="25"/>
  <c r="C89" i="25"/>
  <c r="C77" i="25"/>
  <c r="C209" i="25"/>
  <c r="C296" i="25"/>
  <c r="C221" i="25"/>
  <c r="C35" i="25"/>
  <c r="C142" i="25"/>
  <c r="C79" i="25"/>
  <c r="C123" i="25"/>
  <c r="C74" i="25"/>
  <c r="C145" i="25"/>
  <c r="C319" i="25"/>
  <c r="C28" i="25"/>
  <c r="C67" i="25"/>
  <c r="C152" i="25"/>
  <c r="C155" i="25"/>
  <c r="C122" i="25"/>
  <c r="C287" i="25"/>
  <c r="C101" i="25"/>
  <c r="C37" i="25"/>
  <c r="C100" i="25"/>
  <c r="C128" i="25"/>
  <c r="C302" i="25"/>
  <c r="C271" i="25"/>
  <c r="C239" i="25"/>
  <c r="C272" i="25"/>
  <c r="C331" i="25"/>
  <c r="C270" i="25"/>
  <c r="C151" i="25"/>
  <c r="C120" i="25"/>
  <c r="C316" i="25"/>
  <c r="C213" i="25"/>
  <c r="C193" i="25"/>
  <c r="C171" i="25"/>
  <c r="C307" i="25"/>
  <c r="C179" i="25"/>
  <c r="C138" i="25"/>
  <c r="C127" i="25"/>
  <c r="C78" i="25"/>
  <c r="C50" i="25"/>
  <c r="C71" i="25"/>
  <c r="C147" i="25"/>
  <c r="C261" i="25"/>
  <c r="C259" i="25"/>
  <c r="C116" i="25"/>
  <c r="C75" i="25"/>
  <c r="C98" i="25"/>
  <c r="C346" i="25"/>
  <c r="C103" i="25"/>
  <c r="C251" i="25"/>
  <c r="C180" i="25"/>
  <c r="C119" i="25"/>
  <c r="C283" i="25"/>
  <c r="C172" i="25"/>
  <c r="C45" i="25"/>
  <c r="C44" i="25"/>
  <c r="C129" i="25"/>
  <c r="C188" i="25"/>
  <c r="C92" i="25"/>
  <c r="C214" i="25"/>
  <c r="C54" i="25"/>
  <c r="C323" i="25"/>
  <c r="C163" i="25"/>
  <c r="C59" i="25"/>
  <c r="C336" i="25"/>
  <c r="C176" i="25"/>
  <c r="C289" i="25"/>
  <c r="C308" i="25"/>
  <c r="C125" i="25"/>
  <c r="C335" i="25"/>
  <c r="C303" i="25"/>
  <c r="C114" i="25"/>
  <c r="C248" i="25"/>
  <c r="C53" i="25"/>
  <c r="C206" i="25"/>
  <c r="C230" i="25"/>
  <c r="C178" i="25"/>
  <c r="C132" i="25"/>
  <c r="C338" i="25"/>
  <c r="C327" i="25"/>
  <c r="C83" i="25"/>
  <c r="C321" i="25"/>
  <c r="C232" i="25"/>
  <c r="C341" i="25"/>
  <c r="C174" i="25"/>
  <c r="C353" i="25"/>
  <c r="C329" i="25"/>
  <c r="C57" i="25"/>
  <c r="C186" i="25"/>
  <c r="C285" i="25"/>
  <c r="C273" i="25"/>
  <c r="C141" i="25"/>
  <c r="C304" i="25"/>
  <c r="C334" i="25"/>
  <c r="C269" i="25"/>
  <c r="C200" i="25"/>
  <c r="C297" i="25"/>
  <c r="C205" i="25"/>
  <c r="C124" i="25"/>
  <c r="C135" i="25"/>
  <c r="C249" i="25"/>
  <c r="C189" i="25"/>
  <c r="C208" i="25"/>
  <c r="C217" i="25"/>
  <c r="C250" i="25"/>
  <c r="C197" i="25"/>
  <c r="C277" i="25"/>
  <c r="C264" i="25"/>
  <c r="C254" i="25"/>
  <c r="C169" i="25"/>
  <c r="C118" i="25"/>
  <c r="C252" i="25"/>
  <c r="C52" i="25"/>
  <c r="C317" i="25"/>
  <c r="C247" i="25"/>
  <c r="C29" i="25"/>
  <c r="C56" i="25"/>
  <c r="C131" i="25"/>
  <c r="N20" i="25"/>
  <c r="M20" i="25" s="1"/>
  <c r="E18" i="41" s="1"/>
  <c r="I20" i="25"/>
  <c r="H20" i="25" s="1"/>
  <c r="S40" i="25"/>
  <c r="X40" i="25" s="1"/>
  <c r="Y345" i="25"/>
  <c r="S45" i="25"/>
  <c r="W45" i="25" s="1"/>
  <c r="S60" i="25"/>
  <c r="Y60" i="25" s="1"/>
  <c r="S53" i="25"/>
  <c r="W53" i="25" s="1"/>
  <c r="S46" i="25"/>
  <c r="Y46" i="25" s="1"/>
  <c r="S52" i="25"/>
  <c r="W52" i="25" s="1"/>
  <c r="S61" i="25"/>
  <c r="W61" i="25" s="1"/>
  <c r="S64" i="25"/>
  <c r="Y64" i="25" s="1"/>
  <c r="S56" i="25"/>
  <c r="X56" i="25" s="1"/>
  <c r="S44" i="25"/>
  <c r="W44" i="25" s="1"/>
  <c r="S39" i="25"/>
  <c r="W39" i="25" s="1"/>
  <c r="S57" i="25"/>
  <c r="W57" i="25" s="1"/>
  <c r="S38" i="25"/>
  <c r="W38" i="25" s="1"/>
  <c r="S43" i="25"/>
  <c r="W43" i="25" s="1"/>
  <c r="S51" i="25"/>
  <c r="W51" i="25" s="1"/>
  <c r="S42" i="25"/>
  <c r="W42" i="25" s="1"/>
  <c r="S59" i="25"/>
  <c r="W59" i="25" s="1"/>
  <c r="S62" i="25"/>
  <c r="X62" i="25" s="1"/>
  <c r="L9" i="27"/>
  <c r="L8" i="27"/>
  <c r="S41" i="25"/>
  <c r="W41" i="25" s="1"/>
  <c r="W128" i="25"/>
  <c r="Y154" i="25"/>
  <c r="Y256" i="25"/>
  <c r="W311" i="25"/>
  <c r="W170" i="25"/>
  <c r="X212" i="25"/>
  <c r="Y188" i="25"/>
  <c r="X146" i="25"/>
  <c r="Y193" i="25"/>
  <c r="X308" i="25"/>
  <c r="X170" i="25"/>
  <c r="Y255" i="25"/>
  <c r="Y120" i="25"/>
  <c r="X278" i="25"/>
  <c r="W193" i="25"/>
  <c r="W132" i="25"/>
  <c r="Y233" i="25"/>
  <c r="W259" i="25"/>
  <c r="W216" i="25"/>
  <c r="W237" i="25"/>
  <c r="W160" i="25"/>
  <c r="Y244" i="25"/>
  <c r="W244" i="25"/>
  <c r="W119" i="25"/>
  <c r="X266" i="25"/>
  <c r="Y341" i="25"/>
  <c r="X124" i="25"/>
  <c r="Y264" i="25"/>
  <c r="Y119" i="25"/>
  <c r="Y124" i="25"/>
  <c r="Y272" i="25"/>
  <c r="X232" i="25"/>
  <c r="W266" i="25"/>
  <c r="X211" i="25"/>
  <c r="X149" i="25"/>
  <c r="W301" i="25"/>
  <c r="X180" i="25"/>
  <c r="Y292" i="25"/>
  <c r="W167" i="25"/>
  <c r="X271" i="25"/>
  <c r="Y331" i="25"/>
  <c r="W331" i="25"/>
  <c r="X319" i="25"/>
  <c r="Y229" i="25"/>
  <c r="Y162" i="25"/>
  <c r="Y142" i="25"/>
  <c r="X249" i="25"/>
  <c r="X288" i="25"/>
  <c r="Y313" i="25"/>
  <c r="Y126" i="25"/>
  <c r="Y314" i="25"/>
  <c r="X169" i="25"/>
  <c r="W184" i="25"/>
  <c r="W126" i="25"/>
  <c r="W270" i="25"/>
  <c r="W333" i="25"/>
  <c r="Y184" i="25"/>
  <c r="Y134" i="25"/>
  <c r="X270" i="25"/>
  <c r="W245" i="25"/>
  <c r="X324" i="25"/>
  <c r="W122" i="25"/>
  <c r="X245" i="25"/>
  <c r="X122" i="25"/>
  <c r="W243" i="25"/>
  <c r="W208" i="25"/>
  <c r="X300" i="25"/>
  <c r="S58" i="25"/>
  <c r="W58" i="25" s="1"/>
  <c r="X186" i="25"/>
  <c r="X209" i="25"/>
  <c r="Y178" i="25"/>
  <c r="W186" i="25"/>
  <c r="X264" i="25"/>
  <c r="W178" i="25"/>
  <c r="W168" i="25"/>
  <c r="W356" i="25"/>
  <c r="X208" i="25"/>
  <c r="X280" i="25"/>
  <c r="W214" i="25"/>
  <c r="W197" i="25"/>
  <c r="X314" i="25"/>
  <c r="X134" i="25"/>
  <c r="Y210" i="25"/>
  <c r="X333" i="25"/>
  <c r="Y284" i="25"/>
  <c r="X117" i="25"/>
  <c r="Y277" i="25"/>
  <c r="W252" i="25"/>
  <c r="X334" i="25"/>
  <c r="X197" i="25"/>
  <c r="X317" i="25"/>
  <c r="W232" i="25"/>
  <c r="X243" i="25"/>
  <c r="W334" i="25"/>
  <c r="Y326" i="25"/>
  <c r="Y230" i="25"/>
  <c r="Y161" i="25"/>
  <c r="W210" i="25"/>
  <c r="Y204" i="25"/>
  <c r="X339" i="25"/>
  <c r="X340" i="25"/>
  <c r="S54" i="25"/>
  <c r="W54" i="25" s="1"/>
  <c r="Y165" i="25"/>
  <c r="Y288" i="25"/>
  <c r="W310" i="25"/>
  <c r="Y215" i="25"/>
  <c r="W322" i="25"/>
  <c r="X160" i="25"/>
  <c r="X356" i="25"/>
  <c r="X194" i="25"/>
  <c r="Y335" i="25"/>
  <c r="Y152" i="25"/>
  <c r="X341" i="25"/>
  <c r="W121" i="25"/>
  <c r="X168" i="25"/>
  <c r="Y240" i="25"/>
  <c r="Y312" i="25"/>
  <c r="Y293" i="25"/>
  <c r="Y202" i="25"/>
  <c r="Y209" i="25"/>
  <c r="Y121" i="25"/>
  <c r="X272" i="25"/>
  <c r="X240" i="25"/>
  <c r="X293" i="25"/>
  <c r="Y344" i="25"/>
  <c r="Y300" i="25"/>
  <c r="X152" i="25"/>
  <c r="X202" i="25"/>
  <c r="X344" i="25"/>
  <c r="X269" i="25"/>
  <c r="W144" i="25"/>
  <c r="W268" i="25"/>
  <c r="X206" i="25"/>
  <c r="X312" i="25"/>
  <c r="Y275" i="25"/>
  <c r="Y194" i="25"/>
  <c r="X274" i="25"/>
  <c r="X254" i="25"/>
  <c r="Y144" i="25"/>
  <c r="X136" i="25"/>
  <c r="Y268" i="25"/>
  <c r="W304" i="25"/>
  <c r="Y206" i="25"/>
  <c r="X304" i="25"/>
  <c r="Y236" i="25"/>
  <c r="W254" i="25"/>
  <c r="Y301" i="25"/>
  <c r="W302" i="25"/>
  <c r="Y158" i="25"/>
  <c r="X216" i="25"/>
  <c r="X159" i="25"/>
  <c r="W335" i="25"/>
  <c r="W274" i="25"/>
  <c r="X158" i="25"/>
  <c r="Y303" i="25"/>
  <c r="W159" i="25"/>
  <c r="W299" i="25"/>
  <c r="W199" i="25"/>
  <c r="X302" i="25"/>
  <c r="X303" i="25"/>
  <c r="X236" i="25"/>
  <c r="X345" i="25"/>
  <c r="S48" i="25"/>
  <c r="X48" i="25" s="1"/>
  <c r="S55" i="25"/>
  <c r="W55" i="25" s="1"/>
  <c r="Y191" i="25"/>
  <c r="Y166" i="25"/>
  <c r="X162" i="25"/>
  <c r="Y132" i="25"/>
  <c r="W320" i="25"/>
  <c r="Y135" i="25"/>
  <c r="W276" i="25"/>
  <c r="Y133" i="25"/>
  <c r="W226" i="25"/>
  <c r="X259" i="25"/>
  <c r="W271" i="25"/>
  <c r="X166" i="25"/>
  <c r="X142" i="25"/>
  <c r="Y182" i="25"/>
  <c r="X276" i="25"/>
  <c r="Y320" i="25"/>
  <c r="W285" i="25"/>
  <c r="Y291" i="25"/>
  <c r="W180" i="25"/>
  <c r="W332" i="25"/>
  <c r="X292" i="25"/>
  <c r="X226" i="25"/>
  <c r="Y319" i="25"/>
  <c r="W249" i="25"/>
  <c r="X133" i="25"/>
  <c r="W213" i="25"/>
  <c r="W291" i="25"/>
  <c r="X229" i="25"/>
  <c r="X135" i="25"/>
  <c r="W233" i="25"/>
  <c r="W185" i="25"/>
  <c r="Y167" i="25"/>
  <c r="Y349" i="25"/>
  <c r="Y285" i="25"/>
  <c r="W351" i="25"/>
  <c r="Y224" i="25"/>
  <c r="W136" i="25"/>
  <c r="Y192" i="25"/>
  <c r="W117" i="25"/>
  <c r="Y310" i="25"/>
  <c r="X234" i="25"/>
  <c r="Y347" i="25"/>
  <c r="S49" i="25"/>
  <c r="W49" i="25" s="1"/>
  <c r="S37" i="25"/>
  <c r="W37" i="25" s="1"/>
  <c r="X118" i="25"/>
  <c r="W342" i="25"/>
  <c r="Y350" i="25"/>
  <c r="X329" i="25"/>
  <c r="Y351" i="25"/>
  <c r="W260" i="25"/>
  <c r="W127" i="25"/>
  <c r="S63" i="25"/>
  <c r="W63" i="25" s="1"/>
  <c r="W204" i="25"/>
  <c r="W222" i="25"/>
  <c r="W183" i="25"/>
  <c r="W120" i="25"/>
  <c r="W328" i="25"/>
  <c r="W218" i="25"/>
  <c r="Y227" i="25"/>
  <c r="Y212" i="25"/>
  <c r="Y217" i="25"/>
  <c r="X227" i="25"/>
  <c r="X172" i="25"/>
  <c r="Y218" i="25"/>
  <c r="Y328" i="25"/>
  <c r="Y128" i="25"/>
  <c r="Y308" i="25"/>
  <c r="W278" i="25"/>
  <c r="X251" i="25"/>
  <c r="Y146" i="25"/>
  <c r="X261" i="25"/>
  <c r="X273" i="25"/>
  <c r="X217" i="25"/>
  <c r="X203" i="25"/>
  <c r="W323" i="25"/>
  <c r="S50" i="25"/>
  <c r="W50" i="25" s="1"/>
  <c r="S36" i="25"/>
  <c r="W36" i="25" s="1"/>
  <c r="X174" i="25"/>
  <c r="W172" i="25"/>
  <c r="X140" i="25"/>
  <c r="X188" i="25"/>
  <c r="Y235" i="25"/>
  <c r="W155" i="25"/>
  <c r="X311" i="25"/>
  <c r="Y239" i="25"/>
  <c r="X235" i="25"/>
  <c r="Y323" i="25"/>
  <c r="Y315" i="25"/>
  <c r="W174" i="25"/>
  <c r="W154" i="25"/>
  <c r="Y246" i="25"/>
  <c r="Y340" i="25"/>
  <c r="W219" i="25"/>
  <c r="W294" i="25"/>
  <c r="Y155" i="25"/>
  <c r="Y143" i="25"/>
  <c r="X239" i="25"/>
  <c r="Y203" i="25"/>
  <c r="X309" i="25"/>
  <c r="W258" i="25"/>
  <c r="W140" i="25"/>
  <c r="W282" i="25"/>
  <c r="X246" i="25"/>
  <c r="W256" i="25"/>
  <c r="W273" i="25"/>
  <c r="X219" i="25"/>
  <c r="X282" i="25"/>
  <c r="X255" i="25"/>
  <c r="Y294" i="25"/>
  <c r="X143" i="25"/>
  <c r="X248" i="25"/>
  <c r="Y248" i="25"/>
  <c r="W309" i="25"/>
  <c r="X315" i="25"/>
  <c r="X177" i="25"/>
  <c r="Y263" i="25"/>
  <c r="Y346" i="25"/>
  <c r="X214" i="25"/>
  <c r="X165" i="25"/>
  <c r="W181" i="25"/>
  <c r="X171" i="25"/>
  <c r="X247" i="25"/>
  <c r="Y189" i="25"/>
  <c r="W269" i="25"/>
  <c r="X265" i="25"/>
  <c r="Y318" i="25"/>
  <c r="Y354" i="25"/>
  <c r="W196" i="25"/>
  <c r="Y196" i="25"/>
  <c r="X157" i="25"/>
  <c r="W346" i="25"/>
  <c r="W141" i="25"/>
  <c r="Y228" i="25"/>
  <c r="Y150" i="25"/>
  <c r="X198" i="25"/>
  <c r="X242" i="25"/>
  <c r="W262" i="25"/>
  <c r="W195" i="25"/>
  <c r="Y279" i="25"/>
  <c r="X305" i="25"/>
  <c r="Y148" i="25"/>
  <c r="X150" i="25"/>
  <c r="Y141" i="25"/>
  <c r="X195" i="25"/>
  <c r="Y336" i="25"/>
  <c r="W149" i="25"/>
  <c r="Y267" i="25"/>
  <c r="W179" i="25"/>
  <c r="W148" i="25"/>
  <c r="Y262" i="25"/>
  <c r="X176" i="25"/>
  <c r="X354" i="25"/>
  <c r="W157" i="25"/>
  <c r="Y327" i="25"/>
  <c r="X147" i="25"/>
  <c r="X228" i="25"/>
  <c r="Y198" i="25"/>
  <c r="Y179" i="25"/>
  <c r="W224" i="25"/>
  <c r="W130" i="25"/>
  <c r="Y177" i="25"/>
  <c r="Y176" i="25"/>
  <c r="W263" i="25"/>
  <c r="W327" i="25"/>
  <c r="W147" i="25"/>
  <c r="X336" i="25"/>
  <c r="W279" i="25"/>
  <c r="X129" i="25"/>
  <c r="X342" i="25"/>
  <c r="Y329" i="25"/>
  <c r="X183" i="25"/>
  <c r="W153" i="25"/>
  <c r="X191" i="25"/>
  <c r="Y185" i="25"/>
  <c r="Y338" i="25"/>
  <c r="W257" i="25"/>
  <c r="X318" i="25"/>
  <c r="Y297" i="25"/>
  <c r="X283" i="25"/>
  <c r="Y296" i="25"/>
  <c r="Y343" i="25"/>
  <c r="Y127" i="25"/>
  <c r="W215" i="25"/>
  <c r="W182" i="25"/>
  <c r="X284" i="25"/>
  <c r="X332" i="25"/>
  <c r="W242" i="25"/>
  <c r="X252" i="25"/>
  <c r="X137" i="25"/>
  <c r="W305" i="25"/>
  <c r="Y169" i="25"/>
  <c r="W326" i="25"/>
  <c r="X230" i="25"/>
  <c r="W352" i="25"/>
  <c r="W317" i="25"/>
  <c r="X286" i="25"/>
  <c r="Y201" i="25"/>
  <c r="X213" i="25"/>
  <c r="W267" i="25"/>
  <c r="W247" i="25"/>
  <c r="X161" i="25"/>
  <c r="W151" i="25"/>
  <c r="Y324" i="25"/>
  <c r="Y223" i="25"/>
  <c r="W163" i="25"/>
  <c r="Y171" i="25"/>
  <c r="Y221" i="25"/>
  <c r="X151" i="25"/>
  <c r="Y325" i="25"/>
  <c r="W296" i="25"/>
  <c r="X201" i="25"/>
  <c r="W283" i="25"/>
  <c r="Y156" i="25"/>
  <c r="Y118" i="25"/>
  <c r="W192" i="25"/>
  <c r="W330" i="25"/>
  <c r="W297" i="25"/>
  <c r="W241" i="25"/>
  <c r="X220" i="25"/>
  <c r="W156" i="25"/>
  <c r="Y238" i="25"/>
  <c r="W123" i="25"/>
  <c r="W234" i="25"/>
  <c r="X131" i="25"/>
  <c r="W307" i="25"/>
  <c r="X299" i="25"/>
  <c r="X187" i="25"/>
  <c r="Y175" i="25"/>
  <c r="X139" i="25"/>
  <c r="Y281" i="25"/>
  <c r="W306" i="25"/>
  <c r="Y307" i="25"/>
  <c r="W253" i="25"/>
  <c r="X281" i="25"/>
  <c r="X355" i="25"/>
  <c r="Y355" i="25"/>
  <c r="Y138" i="25"/>
  <c r="W138" i="25"/>
  <c r="X222" i="25"/>
  <c r="Y129" i="25"/>
  <c r="Y123" i="25"/>
  <c r="W175" i="25"/>
  <c r="X338" i="25"/>
  <c r="W337" i="25"/>
  <c r="X313" i="25"/>
  <c r="X347" i="25"/>
  <c r="W349" i="25"/>
  <c r="Y237" i="25"/>
  <c r="W187" i="25"/>
  <c r="X190" i="25"/>
  <c r="Y107" i="25"/>
  <c r="X316" i="25"/>
  <c r="X238" i="25"/>
  <c r="X258" i="25"/>
  <c r="W137" i="25"/>
  <c r="W348" i="25"/>
  <c r="Y251" i="25"/>
  <c r="X221" i="25"/>
  <c r="W116" i="25"/>
  <c r="W139" i="25"/>
  <c r="W189" i="25"/>
  <c r="W261" i="25"/>
  <c r="X306" i="25"/>
  <c r="X330" i="25"/>
  <c r="Y339" i="25"/>
  <c r="X337" i="25"/>
  <c r="Y257" i="25"/>
  <c r="Y265" i="25"/>
  <c r="Y199" i="25"/>
  <c r="Y322" i="25"/>
  <c r="W325" i="25"/>
  <c r="W190" i="25"/>
  <c r="X130" i="25"/>
  <c r="Y298" i="25"/>
  <c r="Y125" i="25"/>
  <c r="X207" i="25"/>
  <c r="W223" i="25"/>
  <c r="Y211" i="25"/>
  <c r="X350" i="25"/>
  <c r="W125" i="25"/>
  <c r="X352" i="25"/>
  <c r="Y260" i="25"/>
  <c r="X173" i="25"/>
  <c r="Y290" i="25"/>
  <c r="X231" i="25"/>
  <c r="W200" i="25"/>
  <c r="X290" i="25"/>
  <c r="Y173" i="25"/>
  <c r="X321" i="25"/>
  <c r="X295" i="25"/>
  <c r="W353" i="25"/>
  <c r="Y286" i="25"/>
  <c r="X205" i="25"/>
  <c r="Y321" i="25"/>
  <c r="X200" i="25"/>
  <c r="W225" i="25"/>
  <c r="X225" i="25"/>
  <c r="Y295" i="25"/>
  <c r="W164" i="25"/>
  <c r="X250" i="25"/>
  <c r="Y353" i="25"/>
  <c r="X275" i="25"/>
  <c r="X153" i="25"/>
  <c r="W207" i="25"/>
  <c r="X145" i="25"/>
  <c r="W280" i="25"/>
  <c r="W287" i="25"/>
  <c r="X287" i="25"/>
  <c r="X253" i="25"/>
  <c r="Y220" i="25"/>
  <c r="W205" i="25"/>
  <c r="W277" i="25"/>
  <c r="W298" i="25"/>
  <c r="Y250" i="25"/>
  <c r="X348" i="25"/>
  <c r="Y116" i="25"/>
  <c r="X164" i="25"/>
  <c r="Y181" i="25"/>
  <c r="W145" i="25"/>
  <c r="Y241" i="25"/>
  <c r="Y131" i="25"/>
  <c r="Y163" i="25"/>
  <c r="W343" i="25"/>
  <c r="Y231" i="25"/>
  <c r="S35" i="25"/>
  <c r="W35" i="25" s="1"/>
  <c r="Y5" i="41"/>
  <c r="W108" i="25"/>
  <c r="W5" i="41"/>
  <c r="O3" i="25"/>
  <c r="O5" i="25"/>
  <c r="Q5" i="25" s="1"/>
  <c r="L3" i="25"/>
  <c r="Y108" i="25"/>
  <c r="W80" i="25"/>
  <c r="X80" i="25"/>
  <c r="Y99" i="25"/>
  <c r="X99" i="25"/>
  <c r="X72" i="25"/>
  <c r="Y72" i="25"/>
  <c r="X78" i="25"/>
  <c r="X71" i="25"/>
  <c r="W71" i="25"/>
  <c r="W87" i="25"/>
  <c r="Y87" i="25"/>
  <c r="X107" i="25"/>
  <c r="W78" i="25"/>
  <c r="W98" i="25"/>
  <c r="Y98" i="25"/>
  <c r="J24" i="25"/>
  <c r="P20" i="36"/>
  <c r="K20" i="36"/>
  <c r="Q187" i="25"/>
  <c r="Q316" i="25"/>
  <c r="Q270" i="25"/>
  <c r="Y104" i="25"/>
  <c r="W104" i="25"/>
  <c r="R150" i="25"/>
  <c r="Q229" i="25"/>
  <c r="Q336" i="25"/>
  <c r="X81" i="25"/>
  <c r="W90" i="25"/>
  <c r="Y81" i="25"/>
  <c r="Q243" i="25"/>
  <c r="R137" i="25"/>
  <c r="Q175" i="25"/>
  <c r="Q152" i="25"/>
  <c r="Q339" i="25"/>
  <c r="Q242" i="25"/>
  <c r="X90" i="25"/>
  <c r="X113" i="25"/>
  <c r="R178" i="25"/>
  <c r="Q168" i="25"/>
  <c r="R342" i="25"/>
  <c r="Q311" i="25"/>
  <c r="R253" i="25"/>
  <c r="Q134" i="25"/>
  <c r="Q321" i="25"/>
  <c r="Q333" i="25"/>
  <c r="R140" i="25"/>
  <c r="R193" i="25"/>
  <c r="Y89" i="25"/>
  <c r="R232" i="25"/>
  <c r="R154" i="25"/>
  <c r="Y69" i="25"/>
  <c r="Y114" i="25"/>
  <c r="R144" i="25"/>
  <c r="R149" i="25"/>
  <c r="R166" i="25"/>
  <c r="R157" i="25"/>
  <c r="Q196" i="25"/>
  <c r="X69" i="25"/>
  <c r="X114" i="25"/>
  <c r="Q201" i="25"/>
  <c r="R205" i="25"/>
  <c r="R146" i="25"/>
  <c r="Q169" i="25"/>
  <c r="R202" i="25"/>
  <c r="Q162" i="25"/>
  <c r="R234" i="25"/>
  <c r="Y113" i="25"/>
  <c r="Q256" i="25"/>
  <c r="R300" i="25"/>
  <c r="Q177" i="25"/>
  <c r="R301" i="25"/>
  <c r="R228" i="25"/>
  <c r="Q155" i="25"/>
  <c r="R312" i="25"/>
  <c r="R346" i="25"/>
  <c r="R315" i="25"/>
  <c r="W105" i="25"/>
  <c r="Q171" i="25"/>
  <c r="R185" i="25"/>
  <c r="R184" i="25"/>
  <c r="Q352" i="25"/>
  <c r="R221" i="25"/>
  <c r="R337" i="25"/>
  <c r="R212" i="25"/>
  <c r="H23" i="3"/>
  <c r="Q132" i="25"/>
  <c r="H24" i="3"/>
  <c r="H21" i="3"/>
  <c r="H19" i="3"/>
  <c r="H25" i="3"/>
  <c r="H18" i="3"/>
  <c r="H26" i="3"/>
  <c r="H22" i="3"/>
  <c r="Q237" i="25"/>
  <c r="R115" i="25"/>
  <c r="Q160" i="25"/>
  <c r="R172" i="25"/>
  <c r="R249" i="25"/>
  <c r="Q350" i="25"/>
  <c r="R143" i="25"/>
  <c r="H16" i="25"/>
  <c r="R245" i="25"/>
  <c r="R239" i="25"/>
  <c r="Q238" i="25"/>
  <c r="Q331" i="25"/>
  <c r="R355" i="25"/>
  <c r="R73" i="25"/>
  <c r="Q283" i="25"/>
  <c r="W89" i="25"/>
  <c r="Y105" i="25"/>
  <c r="R37" i="25"/>
  <c r="R119" i="25"/>
  <c r="Q313" i="25"/>
  <c r="R216" i="25"/>
  <c r="Q308" i="25"/>
  <c r="Q203" i="25"/>
  <c r="R122" i="25"/>
  <c r="R297" i="25"/>
  <c r="Q116" i="25"/>
  <c r="R194" i="25"/>
  <c r="X96" i="25"/>
  <c r="R217" i="25"/>
  <c r="Q257" i="25"/>
  <c r="Q248" i="25"/>
  <c r="R309" i="25"/>
  <c r="Y96" i="25"/>
  <c r="Q328" i="25"/>
  <c r="R246" i="25"/>
  <c r="R226" i="25"/>
  <c r="R345" i="25"/>
  <c r="Q145" i="25"/>
  <c r="Q123" i="25"/>
  <c r="R287" i="25"/>
  <c r="R222" i="25"/>
  <c r="Q131" i="25"/>
  <c r="Q55" i="25"/>
  <c r="R293" i="25"/>
  <c r="Q121" i="25"/>
  <c r="X88" i="25"/>
  <c r="R210" i="25"/>
  <c r="Q267" i="25"/>
  <c r="R128" i="25"/>
  <c r="Q275" i="25"/>
  <c r="Q323" i="25"/>
  <c r="Q136" i="25"/>
  <c r="R125" i="25"/>
  <c r="R120" i="25"/>
  <c r="R209" i="25"/>
  <c r="R118" i="25"/>
  <c r="Q147" i="25"/>
  <c r="R255" i="25"/>
  <c r="R295" i="25"/>
  <c r="R138" i="25"/>
  <c r="Q231" i="25"/>
  <c r="R102" i="25"/>
  <c r="R223" i="25"/>
  <c r="Q233" i="25"/>
  <c r="Q197" i="25"/>
  <c r="R186" i="25"/>
  <c r="R325" i="25"/>
  <c r="R114" i="25"/>
  <c r="Q159" i="25"/>
  <c r="Q286" i="25"/>
  <c r="R280" i="25"/>
  <c r="R204" i="25"/>
  <c r="R192" i="25"/>
  <c r="R224" i="25"/>
  <c r="R117" i="25"/>
  <c r="R334" i="25"/>
  <c r="R278" i="25"/>
  <c r="R252" i="25"/>
  <c r="Q91" i="25"/>
  <c r="R310" i="25"/>
  <c r="R274" i="25"/>
  <c r="Q130" i="25"/>
  <c r="R284" i="25"/>
  <c r="R250" i="25"/>
  <c r="X109" i="25"/>
  <c r="R167" i="25"/>
  <c r="R277" i="25"/>
  <c r="Q135" i="25"/>
  <c r="Q324" i="25"/>
  <c r="Q161" i="25"/>
  <c r="R198" i="25"/>
  <c r="R158" i="25"/>
  <c r="Q330" i="25"/>
  <c r="R288" i="25"/>
  <c r="R279" i="25"/>
  <c r="X76" i="25"/>
  <c r="Q305" i="25"/>
  <c r="R247" i="25"/>
  <c r="R264" i="25"/>
  <c r="R213" i="25"/>
  <c r="R276" i="25"/>
  <c r="R261" i="25"/>
  <c r="Q163" i="25"/>
  <c r="R343" i="25"/>
  <c r="Q126" i="25"/>
  <c r="Q353" i="25"/>
  <c r="R347" i="25"/>
  <c r="R254" i="25"/>
  <c r="R133" i="25"/>
  <c r="R199" i="25"/>
  <c r="X70" i="25"/>
  <c r="Q108" i="25"/>
  <c r="R141" i="25"/>
  <c r="R124" i="25"/>
  <c r="R127" i="25"/>
  <c r="R174" i="25"/>
  <c r="R181" i="25"/>
  <c r="R218" i="25"/>
  <c r="R268" i="25"/>
  <c r="Q304" i="25"/>
  <c r="Q240" i="25"/>
  <c r="Q356" i="25"/>
  <c r="Q208" i="25"/>
  <c r="Q180" i="25"/>
  <c r="R318" i="25"/>
  <c r="R306" i="25"/>
  <c r="R327" i="25"/>
  <c r="Q153" i="25"/>
  <c r="R299" i="25"/>
  <c r="Q349" i="25"/>
  <c r="Q227" i="25"/>
  <c r="R263" i="25"/>
  <c r="R165" i="25"/>
  <c r="R176" i="25"/>
  <c r="Q156" i="25"/>
  <c r="R292" i="25"/>
  <c r="R340" i="25"/>
  <c r="Q259" i="25"/>
  <c r="R307" i="25"/>
  <c r="Q211" i="25"/>
  <c r="R211" i="25"/>
  <c r="R251" i="25"/>
  <c r="Q190" i="25"/>
  <c r="Q179" i="25"/>
  <c r="Q183" i="25"/>
  <c r="Q265" i="25"/>
  <c r="R272" i="25"/>
  <c r="X82" i="25"/>
  <c r="F10" i="27"/>
  <c r="Q338" i="25"/>
  <c r="Q273" i="25"/>
  <c r="Q236" i="25"/>
  <c r="R207" i="25"/>
  <c r="R281" i="25"/>
  <c r="R303" i="25"/>
  <c r="R291" i="25"/>
  <c r="R142" i="25"/>
  <c r="R289" i="25"/>
  <c r="Q289" i="25"/>
  <c r="Q294" i="25"/>
  <c r="R225" i="25"/>
  <c r="Q269" i="25"/>
  <c r="R269" i="25"/>
  <c r="Q319" i="25"/>
  <c r="Q341" i="25"/>
  <c r="Q354" i="25"/>
  <c r="Q220" i="25"/>
  <c r="R220" i="25"/>
  <c r="R235" i="25"/>
  <c r="Q320" i="25"/>
  <c r="Q129" i="25"/>
  <c r="Q148" i="25"/>
  <c r="Q262" i="25"/>
  <c r="R262" i="25"/>
  <c r="Q351" i="25"/>
  <c r="R351" i="25"/>
  <c r="Q244" i="25"/>
  <c r="R244" i="25"/>
  <c r="R314" i="25"/>
  <c r="Q314" i="25"/>
  <c r="Q329" i="25"/>
  <c r="R322" i="25"/>
  <c r="Q195" i="25"/>
  <c r="W70" i="25"/>
  <c r="X106" i="25"/>
  <c r="Y101" i="25"/>
  <c r="Q219" i="25"/>
  <c r="W109" i="25"/>
  <c r="W106" i="25"/>
  <c r="R188" i="25"/>
  <c r="R214" i="25"/>
  <c r="Q214" i="25"/>
  <c r="R139" i="25"/>
  <c r="Q139" i="25"/>
  <c r="Q282" i="25"/>
  <c r="R282" i="25"/>
  <c r="Q348" i="25"/>
  <c r="R348" i="25"/>
  <c r="R189" i="25"/>
  <c r="Q173" i="25"/>
  <c r="Q206" i="25"/>
  <c r="R206" i="25"/>
  <c r="Q271" i="25"/>
  <c r="R271" i="25"/>
  <c r="X94" i="25"/>
  <c r="W100" i="25"/>
  <c r="W93" i="25"/>
  <c r="Q296" i="25"/>
  <c r="R296" i="25"/>
  <c r="R164" i="25"/>
  <c r="Q164" i="25"/>
  <c r="X91" i="25"/>
  <c r="Q335" i="25"/>
  <c r="Q260" i="25"/>
  <c r="R260" i="25"/>
  <c r="Q151" i="25"/>
  <c r="R151" i="25"/>
  <c r="W76" i="25"/>
  <c r="Q200" i="25"/>
  <c r="R200" i="25"/>
  <c r="X97" i="25"/>
  <c r="Q191" i="25"/>
  <c r="R191" i="25"/>
  <c r="Q290" i="25"/>
  <c r="R111" i="25"/>
  <c r="Q111" i="25"/>
  <c r="R344" i="25"/>
  <c r="Q344" i="25"/>
  <c r="R258" i="25"/>
  <c r="Q258" i="25"/>
  <c r="R99" i="25"/>
  <c r="Q99" i="25"/>
  <c r="R109" i="25"/>
  <c r="Q109" i="25"/>
  <c r="R101" i="25"/>
  <c r="Q101" i="25"/>
  <c r="R298" i="25"/>
  <c r="Q298" i="25"/>
  <c r="R107" i="25"/>
  <c r="Q107" i="25"/>
  <c r="R97" i="25"/>
  <c r="Q97" i="25"/>
  <c r="R103" i="25"/>
  <c r="Q103" i="25"/>
  <c r="R113" i="25"/>
  <c r="Q113" i="25"/>
  <c r="R332" i="25"/>
  <c r="Q332" i="25"/>
  <c r="Y93" i="25"/>
  <c r="Y102" i="25"/>
  <c r="Q266" i="25"/>
  <c r="R266" i="25"/>
  <c r="R100" i="25"/>
  <c r="Q100" i="25"/>
  <c r="Q241" i="25"/>
  <c r="R241" i="25"/>
  <c r="Q40" i="25"/>
  <c r="R40" i="25"/>
  <c r="Q85" i="25"/>
  <c r="R85" i="25"/>
  <c r="R79" i="25"/>
  <c r="Q79" i="25"/>
  <c r="Q230" i="25"/>
  <c r="R230" i="25"/>
  <c r="R110" i="25"/>
  <c r="Q110" i="25"/>
  <c r="R52" i="25"/>
  <c r="Q52" i="25"/>
  <c r="Q302" i="25"/>
  <c r="R302" i="25"/>
  <c r="Y75" i="25"/>
  <c r="Y111" i="25"/>
  <c r="R70" i="25"/>
  <c r="Q70" i="25"/>
  <c r="R112" i="25"/>
  <c r="Q112" i="25"/>
  <c r="R88" i="25"/>
  <c r="Q88" i="25"/>
  <c r="H17" i="3"/>
  <c r="M70" i="36"/>
  <c r="I76" i="36"/>
  <c r="I57" i="36"/>
  <c r="I36" i="36"/>
  <c r="I33" i="36"/>
  <c r="I18" i="36"/>
  <c r="I83" i="36"/>
  <c r="I26" i="36"/>
  <c r="I49" i="36"/>
  <c r="E123" i="25"/>
  <c r="E111" i="25"/>
  <c r="E248" i="25"/>
  <c r="E204" i="25"/>
  <c r="E39" i="25"/>
  <c r="E118" i="25"/>
  <c r="M19" i="36"/>
  <c r="E29" i="48" s="1"/>
  <c r="E125" i="25"/>
  <c r="I110" i="36"/>
  <c r="I44" i="36"/>
  <c r="E194" i="25"/>
  <c r="E34" i="25"/>
  <c r="T34" i="25" s="1"/>
  <c r="S34" i="25" s="1"/>
  <c r="W34" i="25" s="1"/>
  <c r="E295" i="25"/>
  <c r="E120" i="25"/>
  <c r="E42" i="25"/>
  <c r="E322" i="25"/>
  <c r="E89" i="25"/>
  <c r="I99" i="36"/>
  <c r="M104" i="36"/>
  <c r="E246" i="25"/>
  <c r="E113" i="25"/>
  <c r="E85" i="25"/>
  <c r="E266" i="25"/>
  <c r="E235" i="25"/>
  <c r="E168" i="25"/>
  <c r="I107" i="36"/>
  <c r="E146" i="25"/>
  <c r="M33" i="36"/>
  <c r="E313" i="25"/>
  <c r="E234" i="25"/>
  <c r="E154" i="25"/>
  <c r="M60" i="36"/>
  <c r="E242" i="25"/>
  <c r="M75" i="36"/>
  <c r="M38" i="36"/>
  <c r="E304" i="25"/>
  <c r="E256" i="25"/>
  <c r="E102" i="25"/>
  <c r="E188" i="25"/>
  <c r="E271" i="25"/>
  <c r="I42" i="36"/>
  <c r="E307" i="25"/>
  <c r="E72" i="25"/>
  <c r="E197" i="25"/>
  <c r="E129" i="25"/>
  <c r="E46" i="25"/>
  <c r="E217" i="25"/>
  <c r="E95" i="25"/>
  <c r="E29" i="25"/>
  <c r="T29" i="25" s="1"/>
  <c r="E332" i="25"/>
  <c r="E315" i="25"/>
  <c r="E225" i="25"/>
  <c r="E157" i="25"/>
  <c r="E132" i="25"/>
  <c r="E264" i="25"/>
  <c r="E327" i="25"/>
  <c r="E162" i="25"/>
  <c r="E67" i="25"/>
  <c r="M93" i="36"/>
  <c r="M99" i="36"/>
  <c r="M55" i="36"/>
  <c r="I62" i="36"/>
  <c r="I24" i="36"/>
  <c r="M35" i="36"/>
  <c r="E249" i="25"/>
  <c r="E135" i="25"/>
  <c r="E324" i="25"/>
  <c r="E245" i="25"/>
  <c r="E355" i="25"/>
  <c r="M66" i="36"/>
  <c r="I92" i="36"/>
  <c r="I59" i="36"/>
  <c r="M103" i="36"/>
  <c r="I13" i="36"/>
  <c r="I15" i="36"/>
  <c r="E155" i="25"/>
  <c r="E343" i="25"/>
  <c r="M79" i="36"/>
  <c r="E319" i="25"/>
  <c r="E126" i="25"/>
  <c r="E345" i="25"/>
  <c r="E207" i="25"/>
  <c r="E233" i="25"/>
  <c r="E139" i="25"/>
  <c r="E298" i="25"/>
  <c r="E170" i="25"/>
  <c r="M80" i="36"/>
  <c r="E206" i="25"/>
  <c r="I58" i="36"/>
  <c r="E169" i="25"/>
  <c r="E293" i="25"/>
  <c r="E57" i="25"/>
  <c r="E40" i="25"/>
  <c r="E257" i="25"/>
  <c r="E241" i="25"/>
  <c r="I63" i="36"/>
  <c r="E251" i="25"/>
  <c r="E330" i="25"/>
  <c r="E55" i="25"/>
  <c r="E186" i="25"/>
  <c r="M23" i="36"/>
  <c r="E33" i="48" s="1"/>
  <c r="E100" i="25"/>
  <c r="E182" i="25"/>
  <c r="E54" i="25"/>
  <c r="I79" i="36"/>
  <c r="I22" i="36"/>
  <c r="E259" i="25"/>
  <c r="E261" i="25"/>
  <c r="E147" i="25"/>
  <c r="E218" i="25"/>
  <c r="E136" i="25"/>
  <c r="E134" i="25"/>
  <c r="E69" i="25"/>
  <c r="E68" i="25"/>
  <c r="E280" i="25"/>
  <c r="I90" i="36"/>
  <c r="E349" i="25"/>
  <c r="E291" i="25"/>
  <c r="I34" i="36"/>
  <c r="E316" i="25"/>
  <c r="E121" i="25"/>
  <c r="E191" i="25"/>
  <c r="E171" i="25"/>
  <c r="M86" i="36"/>
  <c r="E98" i="25"/>
  <c r="E44" i="25"/>
  <c r="M45" i="36"/>
  <c r="I98" i="36"/>
  <c r="E119" i="25"/>
  <c r="E265" i="25"/>
  <c r="E61" i="25"/>
  <c r="M50" i="36"/>
  <c r="E342" i="25"/>
  <c r="E99" i="25"/>
  <c r="E308" i="25"/>
  <c r="I78" i="36"/>
  <c r="I108" i="36"/>
  <c r="I86" i="36"/>
  <c r="M96" i="36"/>
  <c r="M62" i="36"/>
  <c r="I105" i="36"/>
  <c r="M74" i="36"/>
  <c r="M42" i="36"/>
  <c r="E178" i="25"/>
  <c r="M98" i="36"/>
  <c r="E93" i="25"/>
  <c r="E288" i="25"/>
  <c r="M81" i="36"/>
  <c r="I40" i="36"/>
  <c r="M53" i="36"/>
  <c r="M90" i="36"/>
  <c r="M30" i="36"/>
  <c r="I21" i="36"/>
  <c r="E226" i="25"/>
  <c r="E285" i="25"/>
  <c r="E184" i="25"/>
  <c r="E209" i="25"/>
  <c r="E82" i="25"/>
  <c r="I104" i="36"/>
  <c r="E250" i="25"/>
  <c r="E130" i="25"/>
  <c r="E114" i="25"/>
  <c r="E352" i="25"/>
  <c r="I20" i="36"/>
  <c r="E347" i="25"/>
  <c r="E338" i="25"/>
  <c r="E231" i="25"/>
  <c r="E196" i="25"/>
  <c r="E303" i="25"/>
  <c r="E346" i="25"/>
  <c r="E224" i="25"/>
  <c r="I39" i="36"/>
  <c r="E176" i="25"/>
  <c r="I17" i="36"/>
  <c r="E277" i="25"/>
  <c r="M73" i="36"/>
  <c r="I73" i="36"/>
  <c r="E145" i="25"/>
  <c r="E45" i="25"/>
  <c r="E260" i="25"/>
  <c r="E37" i="25"/>
  <c r="E318" i="25"/>
  <c r="E336" i="25"/>
  <c r="M72" i="36"/>
  <c r="I82" i="36"/>
  <c r="E174" i="25"/>
  <c r="E237" i="25"/>
  <c r="E141" i="25"/>
  <c r="E71" i="25"/>
  <c r="I30" i="36"/>
  <c r="I64" i="36"/>
  <c r="E56" i="25"/>
  <c r="E292" i="25"/>
  <c r="E167" i="25"/>
  <c r="M76" i="36"/>
  <c r="E199" i="25"/>
  <c r="E321" i="25"/>
  <c r="E220" i="25"/>
  <c r="E152" i="25"/>
  <c r="I94" i="36"/>
  <c r="E117" i="25"/>
  <c r="E240" i="25"/>
  <c r="E282" i="25"/>
  <c r="M61" i="36"/>
  <c r="E195" i="25"/>
  <c r="E211" i="25"/>
  <c r="I88" i="36"/>
  <c r="E333" i="25"/>
  <c r="I35" i="36"/>
  <c r="E109" i="25"/>
  <c r="E221" i="25"/>
  <c r="I52" i="36"/>
  <c r="E80" i="25"/>
  <c r="I70" i="36"/>
  <c r="E127" i="25"/>
  <c r="M26" i="36"/>
  <c r="M27" i="36"/>
  <c r="M92" i="36"/>
  <c r="M24" i="36"/>
  <c r="E34" i="48" s="1"/>
  <c r="M25" i="36"/>
  <c r="E35" i="48" s="1"/>
  <c r="M91" i="36"/>
  <c r="I87" i="36"/>
  <c r="M101" i="36"/>
  <c r="E223" i="25"/>
  <c r="E200" i="25"/>
  <c r="E153" i="25"/>
  <c r="E106" i="25"/>
  <c r="E193" i="25"/>
  <c r="E177" i="25"/>
  <c r="E267" i="25"/>
  <c r="I38" i="36"/>
  <c r="E41" i="25"/>
  <c r="E143" i="25"/>
  <c r="E107" i="25"/>
  <c r="E97" i="25"/>
  <c r="I100" i="36"/>
  <c r="I28" i="36"/>
  <c r="E151" i="25"/>
  <c r="I53" i="36"/>
  <c r="E81" i="25"/>
  <c r="E160" i="25"/>
  <c r="I89" i="36"/>
  <c r="I25" i="36"/>
  <c r="M87" i="36"/>
  <c r="M15" i="36"/>
  <c r="E25" i="48" s="1"/>
  <c r="I68" i="36"/>
  <c r="M14" i="36"/>
  <c r="E24" i="48" s="1"/>
  <c r="E150" i="25"/>
  <c r="E140" i="25"/>
  <c r="I27" i="36"/>
  <c r="E43" i="25"/>
  <c r="E116" i="25"/>
  <c r="E64" i="25"/>
  <c r="E60" i="25"/>
  <c r="E165" i="25"/>
  <c r="I74" i="36"/>
  <c r="M82" i="36"/>
  <c r="E253" i="25"/>
  <c r="E314" i="25"/>
  <c r="E276" i="25"/>
  <c r="E227" i="25"/>
  <c r="E289" i="25"/>
  <c r="E137" i="25"/>
  <c r="E77" i="25"/>
  <c r="E309" i="25"/>
  <c r="M22" i="36"/>
  <c r="E32" i="48" s="1"/>
  <c r="E299" i="25"/>
  <c r="E232" i="25"/>
  <c r="E258" i="25"/>
  <c r="M64" i="36"/>
  <c r="E192" i="25"/>
  <c r="E274" i="25"/>
  <c r="E53" i="25"/>
  <c r="M109" i="36"/>
  <c r="E51" i="25"/>
  <c r="M77" i="36"/>
  <c r="M110" i="36"/>
  <c r="M36" i="36"/>
  <c r="E268" i="25"/>
  <c r="E159" i="25"/>
  <c r="E75" i="25"/>
  <c r="E323" i="25"/>
  <c r="E73" i="25"/>
  <c r="E202" i="25"/>
  <c r="M84" i="36"/>
  <c r="E203" i="25"/>
  <c r="M29" i="36"/>
  <c r="E212" i="25"/>
  <c r="E32" i="25"/>
  <c r="I106" i="36"/>
  <c r="I80" i="36"/>
  <c r="E269" i="25"/>
  <c r="E94" i="25"/>
  <c r="M49" i="36"/>
  <c r="I66" i="36"/>
  <c r="I112" i="36"/>
  <c r="E326" i="25"/>
  <c r="E103" i="25"/>
  <c r="E105" i="25"/>
  <c r="E317" i="25"/>
  <c r="I71" i="36"/>
  <c r="E214" i="25"/>
  <c r="I50" i="36"/>
  <c r="M111" i="36"/>
  <c r="I81" i="36"/>
  <c r="I51" i="36"/>
  <c r="I65" i="36"/>
  <c r="M34" i="36"/>
  <c r="M67" i="36"/>
  <c r="E112" i="25"/>
  <c r="E52" i="25"/>
  <c r="E239" i="25"/>
  <c r="E115" i="25"/>
  <c r="E31" i="25"/>
  <c r="U31" i="25" s="1"/>
  <c r="S31" i="25" s="1"/>
  <c r="W31" i="25" s="1"/>
  <c r="E92" i="25"/>
  <c r="E287" i="25"/>
  <c r="E331" i="25"/>
  <c r="I60" i="36"/>
  <c r="E243" i="25"/>
  <c r="M107" i="36"/>
  <c r="E74" i="25"/>
  <c r="E238" i="25"/>
  <c r="M83" i="36"/>
  <c r="E50" i="25"/>
  <c r="E187" i="25"/>
  <c r="E65" i="25"/>
  <c r="I29" i="36"/>
  <c r="E353" i="25"/>
  <c r="E311" i="25"/>
  <c r="E198" i="25"/>
  <c r="E62" i="25"/>
  <c r="I85" i="36"/>
  <c r="E122" i="25"/>
  <c r="E229" i="25"/>
  <c r="E275" i="25"/>
  <c r="E33" i="25"/>
  <c r="T33" i="25" s="1"/>
  <c r="S33" i="25" s="1"/>
  <c r="W33" i="25" s="1"/>
  <c r="M102" i="36"/>
  <c r="E300" i="25"/>
  <c r="E263" i="25"/>
  <c r="M56" i="36"/>
  <c r="E302" i="25"/>
  <c r="E341" i="25"/>
  <c r="E312" i="25"/>
  <c r="E163" i="25"/>
  <c r="E101" i="25"/>
  <c r="E38" i="25"/>
  <c r="M21" i="36"/>
  <c r="E31" i="48" s="1"/>
  <c r="E284" i="25"/>
  <c r="I109" i="36"/>
  <c r="I23" i="36"/>
  <c r="E286" i="25"/>
  <c r="E30" i="25"/>
  <c r="U30" i="25" s="1"/>
  <c r="S30" i="25" s="1"/>
  <c r="W30" i="25" s="1"/>
  <c r="E179" i="25"/>
  <c r="M39" i="36"/>
  <c r="E59" i="25"/>
  <c r="E325" i="25"/>
  <c r="E172" i="25"/>
  <c r="E236" i="25"/>
  <c r="E133" i="25"/>
  <c r="E230" i="25"/>
  <c r="M59" i="36"/>
  <c r="E215" i="25"/>
  <c r="E189" i="25"/>
  <c r="E339" i="25"/>
  <c r="E281" i="25"/>
  <c r="E354" i="25"/>
  <c r="E273" i="25"/>
  <c r="M71" i="36"/>
  <c r="M100" i="36"/>
  <c r="I69" i="36"/>
  <c r="M65" i="36"/>
  <c r="M94" i="36"/>
  <c r="M106" i="36"/>
  <c r="M28" i="36"/>
  <c r="E290" i="25"/>
  <c r="E90" i="25"/>
  <c r="E328" i="25"/>
  <c r="I103" i="36"/>
  <c r="E180" i="25"/>
  <c r="E296" i="25"/>
  <c r="E262" i="25"/>
  <c r="I96" i="36"/>
  <c r="E164" i="25"/>
  <c r="E278" i="25"/>
  <c r="E148" i="25"/>
  <c r="M40" i="36"/>
  <c r="E131" i="25"/>
  <c r="E48" i="25"/>
  <c r="E201" i="25"/>
  <c r="E149" i="25"/>
  <c r="E222" i="25"/>
  <c r="E28" i="25"/>
  <c r="V28" i="25" s="1"/>
  <c r="I61" i="36"/>
  <c r="M20" i="36"/>
  <c r="E30" i="48" s="1"/>
  <c r="E128" i="25"/>
  <c r="M112" i="36"/>
  <c r="E76" i="25"/>
  <c r="M89" i="36"/>
  <c r="E79" i="25"/>
  <c r="M52" i="36"/>
  <c r="E335" i="25"/>
  <c r="E334" i="25"/>
  <c r="E216" i="25"/>
  <c r="I43" i="36"/>
  <c r="E301" i="25"/>
  <c r="E58" i="25"/>
  <c r="I46" i="36"/>
  <c r="E35" i="25"/>
  <c r="I102" i="36"/>
  <c r="E254" i="25"/>
  <c r="E83" i="25"/>
  <c r="I75" i="36"/>
  <c r="E78" i="25"/>
  <c r="E270" i="25"/>
  <c r="I31" i="36"/>
  <c r="E49" i="25"/>
  <c r="E181" i="25"/>
  <c r="E305" i="25"/>
  <c r="M58" i="36"/>
  <c r="I67" i="36"/>
  <c r="I95" i="36"/>
  <c r="E310" i="25"/>
  <c r="I56" i="36"/>
  <c r="E213" i="25"/>
  <c r="M57" i="36"/>
  <c r="E329" i="25"/>
  <c r="M85" i="36"/>
  <c r="E144" i="25"/>
  <c r="I111" i="36"/>
  <c r="E138" i="25"/>
  <c r="E63" i="25"/>
  <c r="I101" i="36"/>
  <c r="E219" i="25"/>
  <c r="M46" i="36"/>
  <c r="I91" i="36"/>
  <c r="M41" i="36"/>
  <c r="E17" i="25"/>
  <c r="E22" i="25"/>
  <c r="V22" i="25" s="1"/>
  <c r="E21" i="25"/>
  <c r="V21" i="25" s="1"/>
  <c r="I19" i="36"/>
  <c r="I97" i="36"/>
  <c r="M18" i="36"/>
  <c r="E28" i="48" s="1"/>
  <c r="I77" i="36"/>
  <c r="E297" i="25"/>
  <c r="M32" i="36"/>
  <c r="E255" i="25"/>
  <c r="E124" i="25"/>
  <c r="E244" i="25"/>
  <c r="M31" i="36"/>
  <c r="I37" i="36"/>
  <c r="E108" i="25"/>
  <c r="E47" i="25"/>
  <c r="E86" i="25"/>
  <c r="E272" i="25"/>
  <c r="E320" i="25"/>
  <c r="E210" i="25"/>
  <c r="M69" i="36"/>
  <c r="I54" i="36"/>
  <c r="M17" i="36"/>
  <c r="E27" i="48" s="1"/>
  <c r="M88" i="36"/>
  <c r="E166" i="25"/>
  <c r="E70" i="25"/>
  <c r="E350" i="25"/>
  <c r="E306" i="25"/>
  <c r="E175" i="25"/>
  <c r="M54" i="36"/>
  <c r="M44" i="36"/>
  <c r="E344" i="25"/>
  <c r="I47" i="36"/>
  <c r="E87" i="25"/>
  <c r="M13" i="36"/>
  <c r="E23" i="48" s="1"/>
  <c r="E66" i="25"/>
  <c r="E283" i="25"/>
  <c r="I55" i="36"/>
  <c r="M37" i="36"/>
  <c r="E183" i="25"/>
  <c r="I84" i="36"/>
  <c r="E208" i="25"/>
  <c r="E228" i="25"/>
  <c r="M51" i="36"/>
  <c r="E337" i="25"/>
  <c r="M78" i="36"/>
  <c r="E104" i="25"/>
  <c r="E156" i="25"/>
  <c r="E142" i="25"/>
  <c r="E190" i="25"/>
  <c r="E247" i="25"/>
  <c r="M48" i="36"/>
  <c r="I32" i="36"/>
  <c r="M105" i="36"/>
  <c r="E24" i="25"/>
  <c r="U24" i="25" s="1"/>
  <c r="M68" i="36"/>
  <c r="I41" i="36"/>
  <c r="I14" i="36"/>
  <c r="E351" i="25"/>
  <c r="I93" i="36"/>
  <c r="E356" i="25"/>
  <c r="E185" i="25"/>
  <c r="M63" i="36"/>
  <c r="E88" i="25"/>
  <c r="E252" i="25"/>
  <c r="E340" i="25"/>
  <c r="E205" i="25"/>
  <c r="E173" i="25"/>
  <c r="E161" i="25"/>
  <c r="M95" i="36"/>
  <c r="M43" i="36"/>
  <c r="E18" i="25"/>
  <c r="E23" i="25"/>
  <c r="U23" i="25" s="1"/>
  <c r="E16" i="25"/>
  <c r="E27" i="25"/>
  <c r="M108" i="36"/>
  <c r="E279" i="25"/>
  <c r="M47" i="36"/>
  <c r="E91" i="25"/>
  <c r="E96" i="25"/>
  <c r="I45" i="36"/>
  <c r="E110" i="25"/>
  <c r="E36" i="25"/>
  <c r="I48" i="36"/>
  <c r="E294" i="25"/>
  <c r="I72" i="36"/>
  <c r="E84" i="25"/>
  <c r="E348" i="25"/>
  <c r="E158" i="25"/>
  <c r="M97" i="36"/>
  <c r="E25" i="25"/>
  <c r="E20" i="25"/>
  <c r="V20" i="25" s="1"/>
  <c r="E26" i="25"/>
  <c r="V26" i="25" s="1"/>
  <c r="R326" i="25"/>
  <c r="Q326" i="25"/>
  <c r="R46" i="25"/>
  <c r="Q46" i="25"/>
  <c r="R61" i="25"/>
  <c r="Q61" i="25"/>
  <c r="W92" i="25"/>
  <c r="W91" i="25"/>
  <c r="W97" i="25"/>
  <c r="Q76" i="25"/>
  <c r="R76" i="25"/>
  <c r="R43" i="25"/>
  <c r="Q43" i="25"/>
  <c r="E12" i="46"/>
  <c r="R215" i="25"/>
  <c r="Q215" i="25"/>
  <c r="W101" i="25"/>
  <c r="R104" i="25"/>
  <c r="Q104" i="25"/>
  <c r="Q49" i="25"/>
  <c r="R49" i="25"/>
  <c r="Q285" i="25"/>
  <c r="R285" i="25"/>
  <c r="Q170" i="25"/>
  <c r="R170" i="25"/>
  <c r="Q67" i="25"/>
  <c r="R67" i="25"/>
  <c r="R82" i="25"/>
  <c r="Q82" i="25"/>
  <c r="X79" i="25"/>
  <c r="R64" i="25"/>
  <c r="Q64" i="25"/>
  <c r="R182" i="25"/>
  <c r="Q182" i="25"/>
  <c r="Q94" i="25"/>
  <c r="R94" i="25"/>
  <c r="Q58" i="25"/>
  <c r="R58" i="25"/>
  <c r="R317" i="25"/>
  <c r="Q317" i="25"/>
  <c r="R106" i="25"/>
  <c r="Q106" i="25"/>
  <c r="R77" i="25"/>
  <c r="Q77" i="25"/>
  <c r="R93" i="25"/>
  <c r="Q93" i="25"/>
  <c r="Q39" i="25"/>
  <c r="R39" i="25"/>
  <c r="R53" i="25"/>
  <c r="Q53" i="25"/>
  <c r="R87" i="25"/>
  <c r="Q87" i="25"/>
  <c r="R69" i="25"/>
  <c r="Q69" i="25"/>
  <c r="X86" i="25"/>
  <c r="Y86" i="25"/>
  <c r="X95" i="25"/>
  <c r="Y95" i="25"/>
  <c r="R95" i="25"/>
  <c r="Q95" i="25"/>
  <c r="R41" i="25"/>
  <c r="Q41" i="25"/>
  <c r="R75" i="25"/>
  <c r="Q75" i="25"/>
  <c r="R57" i="25"/>
  <c r="Q57" i="25"/>
  <c r="X67" i="25"/>
  <c r="R89" i="25"/>
  <c r="Q89" i="25"/>
  <c r="R71" i="25"/>
  <c r="Q71" i="25"/>
  <c r="R35" i="25"/>
  <c r="Q35" i="25"/>
  <c r="Q51" i="25"/>
  <c r="R51" i="25"/>
  <c r="W110" i="25"/>
  <c r="W94" i="25"/>
  <c r="W75" i="25"/>
  <c r="F9" i="27"/>
  <c r="Y77" i="25"/>
  <c r="X77" i="25"/>
  <c r="Y92" i="25"/>
  <c r="Y115" i="25"/>
  <c r="X115" i="25"/>
  <c r="W111" i="25"/>
  <c r="X85" i="25"/>
  <c r="X68" i="25"/>
  <c r="Y68" i="25"/>
  <c r="W79" i="25"/>
  <c r="R92" i="25"/>
  <c r="Q92" i="25"/>
  <c r="R74" i="25"/>
  <c r="Q74" i="25"/>
  <c r="R56" i="25"/>
  <c r="Q56" i="25"/>
  <c r="R38" i="25"/>
  <c r="Q38" i="25"/>
  <c r="Q90" i="25"/>
  <c r="R90" i="25"/>
  <c r="Q72" i="25"/>
  <c r="R72" i="25"/>
  <c r="Q54" i="25"/>
  <c r="R54" i="25"/>
  <c r="Q36" i="25"/>
  <c r="R36" i="25"/>
  <c r="H12" i="25"/>
  <c r="C3" i="36" s="1"/>
  <c r="X103" i="25"/>
  <c r="W66" i="25"/>
  <c r="W103" i="25"/>
  <c r="R86" i="25"/>
  <c r="Q86" i="25"/>
  <c r="R68" i="25"/>
  <c r="Q68" i="25"/>
  <c r="R50" i="25"/>
  <c r="Q50" i="25"/>
  <c r="Q84" i="25"/>
  <c r="R84" i="25"/>
  <c r="Q66" i="25"/>
  <c r="R66" i="25"/>
  <c r="Q48" i="25"/>
  <c r="R48" i="25"/>
  <c r="W74" i="25"/>
  <c r="W102" i="25"/>
  <c r="W82" i="25"/>
  <c r="F8" i="27"/>
  <c r="W112" i="25"/>
  <c r="Y84" i="25"/>
  <c r="R105" i="25"/>
  <c r="Q105" i="25"/>
  <c r="F103" i="41"/>
  <c r="Y83" i="25"/>
  <c r="Y74" i="25"/>
  <c r="P22" i="36"/>
  <c r="P24" i="36"/>
  <c r="P21" i="36"/>
  <c r="K23" i="36"/>
  <c r="C26" i="25" s="1"/>
  <c r="K24" i="36"/>
  <c r="C27" i="25" s="1"/>
  <c r="K21" i="36"/>
  <c r="K22" i="36"/>
  <c r="C25" i="25" s="1"/>
  <c r="W83" i="25"/>
  <c r="W95" i="25"/>
  <c r="W84" i="25"/>
  <c r="W73" i="25"/>
  <c r="Y110" i="25"/>
  <c r="W67" i="25"/>
  <c r="Y66" i="25"/>
  <c r="W88" i="25"/>
  <c r="X112" i="25"/>
  <c r="X100" i="25"/>
  <c r="R98" i="25"/>
  <c r="Q98" i="25"/>
  <c r="R80" i="25"/>
  <c r="Q80" i="25"/>
  <c r="R62" i="25"/>
  <c r="Q62" i="25"/>
  <c r="R44" i="25"/>
  <c r="Q44" i="25"/>
  <c r="Q96" i="25"/>
  <c r="R96" i="25"/>
  <c r="Q78" i="25"/>
  <c r="R78" i="25"/>
  <c r="Q60" i="25"/>
  <c r="R60" i="25"/>
  <c r="Q42" i="25"/>
  <c r="R42" i="25"/>
  <c r="R59" i="25"/>
  <c r="Q59" i="25"/>
  <c r="R83" i="25"/>
  <c r="Q83" i="25"/>
  <c r="R65" i="25"/>
  <c r="Q65" i="25"/>
  <c r="R47" i="25"/>
  <c r="Q47" i="25"/>
  <c r="R81" i="25"/>
  <c r="Q81" i="25"/>
  <c r="R63" i="25"/>
  <c r="Q63" i="25"/>
  <c r="Q45" i="25"/>
  <c r="R45" i="25"/>
  <c r="W85" i="25"/>
  <c r="X73" i="25"/>
  <c r="U32" i="25" l="1"/>
  <c r="V32" i="25"/>
  <c r="P24" i="51"/>
  <c r="O24" i="51"/>
  <c r="Q24" i="51"/>
  <c r="S32" i="41" s="1"/>
  <c r="J7" i="51"/>
  <c r="K7" i="51"/>
  <c r="I7" i="51"/>
  <c r="H7" i="51"/>
  <c r="H21" i="51"/>
  <c r="K21" i="51"/>
  <c r="I21" i="51"/>
  <c r="J21" i="51"/>
  <c r="H6" i="51"/>
  <c r="I6" i="51"/>
  <c r="J6" i="51"/>
  <c r="K6" i="51"/>
  <c r="L24" i="51"/>
  <c r="J10" i="51"/>
  <c r="K10" i="51"/>
  <c r="H10" i="51"/>
  <c r="I10" i="51"/>
  <c r="H18" i="51"/>
  <c r="I18" i="51"/>
  <c r="J18" i="51"/>
  <c r="K18" i="51"/>
  <c r="K8" i="51"/>
  <c r="H8" i="51"/>
  <c r="I8" i="51"/>
  <c r="J8" i="51"/>
  <c r="H22" i="51"/>
  <c r="I22" i="51"/>
  <c r="J22" i="51"/>
  <c r="K22" i="51"/>
  <c r="I19" i="51"/>
  <c r="J19" i="51"/>
  <c r="K19" i="51"/>
  <c r="H19" i="51"/>
  <c r="J20" i="51"/>
  <c r="K20" i="51"/>
  <c r="I20" i="51"/>
  <c r="H20" i="51"/>
  <c r="K23" i="51"/>
  <c r="H23" i="51"/>
  <c r="I23" i="51"/>
  <c r="J23" i="51"/>
  <c r="H32" i="41"/>
  <c r="X32" i="41"/>
  <c r="Z32" i="41" s="1"/>
  <c r="N34" i="25"/>
  <c r="O34" i="25"/>
  <c r="M10" i="51"/>
  <c r="M6" i="51"/>
  <c r="M19" i="51"/>
  <c r="M21" i="51"/>
  <c r="M18" i="51"/>
  <c r="M8" i="51"/>
  <c r="M20" i="51"/>
  <c r="M22" i="51"/>
  <c r="M7" i="51"/>
  <c r="M23" i="51"/>
  <c r="N33" i="25"/>
  <c r="O33" i="25"/>
  <c r="N32" i="25"/>
  <c r="O32" i="25"/>
  <c r="N31" i="25"/>
  <c r="O31" i="25"/>
  <c r="U27" i="25"/>
  <c r="V27" i="25"/>
  <c r="U26" i="25"/>
  <c r="T26" i="25"/>
  <c r="V25" i="25"/>
  <c r="T25" i="25"/>
  <c r="F5" i="27"/>
  <c r="F6" i="27"/>
  <c r="O30" i="25"/>
  <c r="N30" i="25"/>
  <c r="V16" i="25"/>
  <c r="T16" i="25"/>
  <c r="V29" i="25"/>
  <c r="U29" i="25"/>
  <c r="T28" i="25"/>
  <c r="U28" i="25"/>
  <c r="N21" i="25"/>
  <c r="M21" i="25" s="1"/>
  <c r="E19" i="41" s="1"/>
  <c r="N22" i="25"/>
  <c r="M22" i="25" s="1"/>
  <c r="E20" i="41" s="1"/>
  <c r="H22" i="25"/>
  <c r="N19" i="25"/>
  <c r="M19" i="25" s="1"/>
  <c r="E17" i="41" s="1"/>
  <c r="H21" i="25"/>
  <c r="H19" i="25"/>
  <c r="D10" i="3"/>
  <c r="N29" i="25"/>
  <c r="O29" i="25"/>
  <c r="N28" i="25"/>
  <c r="O28" i="25"/>
  <c r="E94" i="48"/>
  <c r="D85" i="49"/>
  <c r="F84" i="46"/>
  <c r="E86" i="48"/>
  <c r="D77" i="49"/>
  <c r="F76" i="46"/>
  <c r="D81" i="49"/>
  <c r="F80" i="46"/>
  <c r="E90" i="48"/>
  <c r="E57" i="48"/>
  <c r="D48" i="49"/>
  <c r="F47" i="46"/>
  <c r="E110" i="48"/>
  <c r="D101" i="49"/>
  <c r="F100" i="46"/>
  <c r="E118" i="48"/>
  <c r="F108" i="46"/>
  <c r="D109" i="49"/>
  <c r="D96" i="49"/>
  <c r="F95" i="46"/>
  <c r="E105" i="48"/>
  <c r="E58" i="48"/>
  <c r="D49" i="49"/>
  <c r="F48" i="46"/>
  <c r="D79" i="49"/>
  <c r="F78" i="46"/>
  <c r="E88" i="48"/>
  <c r="E56" i="48"/>
  <c r="D47" i="49"/>
  <c r="F46" i="46"/>
  <c r="D90" i="49"/>
  <c r="F89" i="46"/>
  <c r="E99" i="48"/>
  <c r="E50" i="48"/>
  <c r="D41" i="49"/>
  <c r="F40" i="46"/>
  <c r="E38" i="48"/>
  <c r="F28" i="46"/>
  <c r="D29" i="49"/>
  <c r="D72" i="49"/>
  <c r="F71" i="46"/>
  <c r="E81" i="48"/>
  <c r="D108" i="49"/>
  <c r="F107" i="46"/>
  <c r="E117" i="48"/>
  <c r="E44" i="48"/>
  <c r="D35" i="49"/>
  <c r="F34" i="46"/>
  <c r="E46" i="48"/>
  <c r="F36" i="46"/>
  <c r="D37" i="49"/>
  <c r="D93" i="49"/>
  <c r="F92" i="46"/>
  <c r="E102" i="48"/>
  <c r="D74" i="49"/>
  <c r="E83" i="48"/>
  <c r="F73" i="46"/>
  <c r="D31" i="49"/>
  <c r="F30" i="46"/>
  <c r="E40" i="48"/>
  <c r="D63" i="49"/>
  <c r="F62" i="46"/>
  <c r="E72" i="48"/>
  <c r="D61" i="49"/>
  <c r="F60" i="46"/>
  <c r="E70" i="48"/>
  <c r="D98" i="49"/>
  <c r="E107" i="48"/>
  <c r="F97" i="46"/>
  <c r="E73" i="48"/>
  <c r="D64" i="49"/>
  <c r="F63" i="46"/>
  <c r="D38" i="49"/>
  <c r="E47" i="48"/>
  <c r="F37" i="46"/>
  <c r="E79" i="48"/>
  <c r="D70" i="49"/>
  <c r="F69" i="46"/>
  <c r="D33" i="49"/>
  <c r="F32" i="46"/>
  <c r="E42" i="48"/>
  <c r="D86" i="49"/>
  <c r="E95" i="48"/>
  <c r="F85" i="46"/>
  <c r="E116" i="48"/>
  <c r="D107" i="49"/>
  <c r="F106" i="46"/>
  <c r="E69" i="48"/>
  <c r="D60" i="49"/>
  <c r="F59" i="46"/>
  <c r="E112" i="48"/>
  <c r="D103" i="49"/>
  <c r="F102" i="46"/>
  <c r="E120" i="48"/>
  <c r="D111" i="49"/>
  <c r="F110" i="46"/>
  <c r="D102" i="49"/>
  <c r="F101" i="46"/>
  <c r="E111" i="48"/>
  <c r="E37" i="48"/>
  <c r="F27" i="46"/>
  <c r="D28" i="49"/>
  <c r="E100" i="48"/>
  <c r="F90" i="46"/>
  <c r="D91" i="49"/>
  <c r="D99" i="49"/>
  <c r="F98" i="46"/>
  <c r="E108" i="48"/>
  <c r="D97" i="49"/>
  <c r="F96" i="46"/>
  <c r="E106" i="48"/>
  <c r="E55" i="48"/>
  <c r="D46" i="49"/>
  <c r="F45" i="46"/>
  <c r="D104" i="49"/>
  <c r="E113" i="48"/>
  <c r="F103" i="46"/>
  <c r="D56" i="49"/>
  <c r="E65" i="48"/>
  <c r="F55" i="46"/>
  <c r="D105" i="49"/>
  <c r="F104" i="46"/>
  <c r="E114" i="48"/>
  <c r="E115" i="48"/>
  <c r="D106" i="49"/>
  <c r="F105" i="46"/>
  <c r="D44" i="49"/>
  <c r="E53" i="48"/>
  <c r="F43" i="46"/>
  <c r="D68" i="49"/>
  <c r="E77" i="48"/>
  <c r="F67" i="46"/>
  <c r="D69" i="49"/>
  <c r="F68" i="46"/>
  <c r="E78" i="48"/>
  <c r="E61" i="48"/>
  <c r="D52" i="49"/>
  <c r="F51" i="46"/>
  <c r="D113" i="49"/>
  <c r="E122" i="48"/>
  <c r="F112" i="46"/>
  <c r="E104" i="48"/>
  <c r="D95" i="49"/>
  <c r="F94" i="46"/>
  <c r="E49" i="48"/>
  <c r="D40" i="49"/>
  <c r="F39" i="46"/>
  <c r="D50" i="49"/>
  <c r="E59" i="48"/>
  <c r="F49" i="46"/>
  <c r="D78" i="49"/>
  <c r="F77" i="46"/>
  <c r="E87" i="48"/>
  <c r="E74" i="48"/>
  <c r="D65" i="49"/>
  <c r="F64" i="46"/>
  <c r="D27" i="49"/>
  <c r="E36" i="48"/>
  <c r="F26" i="46"/>
  <c r="D62" i="49"/>
  <c r="E71" i="48"/>
  <c r="F61" i="46"/>
  <c r="E63" i="48"/>
  <c r="D54" i="49"/>
  <c r="F53" i="46"/>
  <c r="D51" i="49"/>
  <c r="F50" i="46"/>
  <c r="E60" i="48"/>
  <c r="D80" i="49"/>
  <c r="E89" i="48"/>
  <c r="F79" i="46"/>
  <c r="E109" i="48"/>
  <c r="D100" i="49"/>
  <c r="F99" i="46"/>
  <c r="O17" i="25"/>
  <c r="N17" i="25"/>
  <c r="D45" i="49"/>
  <c r="F44" i="46"/>
  <c r="E54" i="48"/>
  <c r="F31" i="46"/>
  <c r="D32" i="49"/>
  <c r="E41" i="48"/>
  <c r="E67" i="48"/>
  <c r="D58" i="49"/>
  <c r="F57" i="46"/>
  <c r="E68" i="48"/>
  <c r="D59" i="49"/>
  <c r="F58" i="46"/>
  <c r="D66" i="49"/>
  <c r="F65" i="46"/>
  <c r="E75" i="48"/>
  <c r="D84" i="49"/>
  <c r="F83" i="46"/>
  <c r="E93" i="48"/>
  <c r="E39" i="48"/>
  <c r="D30" i="49"/>
  <c r="F29" i="46"/>
  <c r="E92" i="48"/>
  <c r="D83" i="49"/>
  <c r="F82" i="46"/>
  <c r="D92" i="49"/>
  <c r="E101" i="48"/>
  <c r="F91" i="46"/>
  <c r="D43" i="49"/>
  <c r="E52" i="48"/>
  <c r="F42" i="46"/>
  <c r="E103" i="48"/>
  <c r="D94" i="49"/>
  <c r="F93" i="46"/>
  <c r="D39" i="49"/>
  <c r="F38" i="46"/>
  <c r="E48" i="48"/>
  <c r="F54" i="46"/>
  <c r="E64" i="48"/>
  <c r="D55" i="49"/>
  <c r="E98" i="48"/>
  <c r="D89" i="49"/>
  <c r="F88" i="46"/>
  <c r="E51" i="48"/>
  <c r="D42" i="49"/>
  <c r="F41" i="46"/>
  <c r="E62" i="48"/>
  <c r="D53" i="49"/>
  <c r="F52" i="46"/>
  <c r="D57" i="49"/>
  <c r="F56" i="46"/>
  <c r="E66" i="48"/>
  <c r="D112" i="49"/>
  <c r="E121" i="48"/>
  <c r="F111" i="46"/>
  <c r="D110" i="49"/>
  <c r="E119" i="48"/>
  <c r="F109" i="46"/>
  <c r="E97" i="48"/>
  <c r="D88" i="49"/>
  <c r="F87" i="46"/>
  <c r="E82" i="48"/>
  <c r="F72" i="46"/>
  <c r="D73" i="49"/>
  <c r="E91" i="48"/>
  <c r="D82" i="49"/>
  <c r="F81" i="46"/>
  <c r="D75" i="49"/>
  <c r="F74" i="46"/>
  <c r="E84" i="48"/>
  <c r="D87" i="49"/>
  <c r="F86" i="46"/>
  <c r="E96" i="48"/>
  <c r="E76" i="48"/>
  <c r="D67" i="49"/>
  <c r="F66" i="46"/>
  <c r="E45" i="48"/>
  <c r="D36" i="49"/>
  <c r="F35" i="46"/>
  <c r="E85" i="48"/>
  <c r="F75" i="46"/>
  <c r="D76" i="49"/>
  <c r="E43" i="48"/>
  <c r="D34" i="49"/>
  <c r="F33" i="46"/>
  <c r="E80" i="48"/>
  <c r="D71" i="49"/>
  <c r="F70" i="46"/>
  <c r="Y65" i="25"/>
  <c r="W65" i="25"/>
  <c r="Y47" i="25"/>
  <c r="X47" i="25"/>
  <c r="T21" i="25"/>
  <c r="U21" i="25"/>
  <c r="T23" i="25"/>
  <c r="V23" i="25"/>
  <c r="V24" i="25"/>
  <c r="T24" i="25"/>
  <c r="T22" i="25"/>
  <c r="U22" i="25"/>
  <c r="Q3" i="25"/>
  <c r="Q6" i="25" s="1"/>
  <c r="R3" i="25" s="1"/>
  <c r="X45" i="25"/>
  <c r="Y31" i="25"/>
  <c r="T17" i="25"/>
  <c r="U17" i="25"/>
  <c r="F4" i="27"/>
  <c r="F12" i="27"/>
  <c r="P18" i="25"/>
  <c r="Q18" i="25" s="1"/>
  <c r="Y56" i="25"/>
  <c r="W40" i="25"/>
  <c r="Y40" i="25"/>
  <c r="X31" i="25"/>
  <c r="C24" i="25"/>
  <c r="K24" i="25"/>
  <c r="K14" i="25" s="1"/>
  <c r="K15" i="25" s="1"/>
  <c r="J25" i="25"/>
  <c r="H25" i="25" s="1"/>
  <c r="O27" i="25"/>
  <c r="N27" i="25"/>
  <c r="N25" i="25"/>
  <c r="O25" i="25"/>
  <c r="J27" i="25"/>
  <c r="H27" i="25" s="1"/>
  <c r="N26" i="25"/>
  <c r="O26" i="25"/>
  <c r="J26" i="25"/>
  <c r="H26" i="25" s="1"/>
  <c r="C23" i="25"/>
  <c r="I23" i="25"/>
  <c r="W60" i="25"/>
  <c r="Y52" i="25"/>
  <c r="Y45" i="25"/>
  <c r="Y62" i="25"/>
  <c r="W46" i="25"/>
  <c r="X53" i="25"/>
  <c r="X61" i="25"/>
  <c r="Y61" i="25"/>
  <c r="X57" i="25"/>
  <c r="Y43" i="25"/>
  <c r="Y53" i="25"/>
  <c r="X60" i="25"/>
  <c r="X52" i="25"/>
  <c r="Y57" i="25"/>
  <c r="X64" i="25"/>
  <c r="X43" i="25"/>
  <c r="W64" i="25"/>
  <c r="Y59" i="25"/>
  <c r="X39" i="25"/>
  <c r="X59" i="25"/>
  <c r="X46" i="25"/>
  <c r="Y44" i="25"/>
  <c r="W56" i="25"/>
  <c r="X42" i="25"/>
  <c r="X44" i="25"/>
  <c r="Y42" i="25"/>
  <c r="X55" i="25"/>
  <c r="Y38" i="25"/>
  <c r="X38" i="25"/>
  <c r="Y55" i="25"/>
  <c r="Y39" i="25"/>
  <c r="X51" i="25"/>
  <c r="Y51" i="25"/>
  <c r="X58" i="25"/>
  <c r="Y49" i="25"/>
  <c r="Y41" i="25"/>
  <c r="X41" i="25"/>
  <c r="W62" i="25"/>
  <c r="L6" i="25"/>
  <c r="Y36" i="25"/>
  <c r="X36" i="25"/>
  <c r="Y30" i="25"/>
  <c r="X54" i="25"/>
  <c r="Y54" i="25"/>
  <c r="X50" i="25"/>
  <c r="Y50" i="25"/>
  <c r="Y48" i="25"/>
  <c r="W48" i="25"/>
  <c r="Y58" i="25"/>
  <c r="X49" i="25"/>
  <c r="X37" i="25"/>
  <c r="X63" i="25"/>
  <c r="Y63" i="25"/>
  <c r="Y37" i="25"/>
  <c r="X30" i="25"/>
  <c r="F18" i="41"/>
  <c r="X35" i="25"/>
  <c r="Y35" i="25"/>
  <c r="Y33" i="25"/>
  <c r="P20" i="25"/>
  <c r="Q20" i="25" s="1"/>
  <c r="X33" i="25"/>
  <c r="O6" i="25"/>
  <c r="Y34" i="25"/>
  <c r="X34" i="25"/>
  <c r="F20" i="46"/>
  <c r="D21" i="49"/>
  <c r="F21" i="46"/>
  <c r="D22" i="49"/>
  <c r="D14" i="49"/>
  <c r="F17" i="46"/>
  <c r="D18" i="49"/>
  <c r="F15" i="46"/>
  <c r="D16" i="49"/>
  <c r="F23" i="46"/>
  <c r="D24" i="49"/>
  <c r="F18" i="46"/>
  <c r="D19" i="49"/>
  <c r="T20" i="25"/>
  <c r="S20" i="25" s="1"/>
  <c r="F25" i="46"/>
  <c r="D26" i="49"/>
  <c r="U25" i="25"/>
  <c r="F22" i="46"/>
  <c r="D23" i="49"/>
  <c r="F24" i="46"/>
  <c r="D25" i="49"/>
  <c r="V18" i="25"/>
  <c r="T18" i="25"/>
  <c r="F14" i="46"/>
  <c r="D15" i="49"/>
  <c r="F19" i="46"/>
  <c r="D20" i="49"/>
  <c r="F16" i="41"/>
  <c r="V17" i="25"/>
  <c r="P16" i="25"/>
  <c r="Q16" i="25" s="1"/>
  <c r="F10" i="3"/>
  <c r="F13" i="46"/>
  <c r="E10" i="3"/>
  <c r="K11" i="36"/>
  <c r="K12" i="36" s="1"/>
  <c r="G12" i="25"/>
  <c r="P11" i="36"/>
  <c r="P12" i="36" s="1"/>
  <c r="S32" i="25" l="1"/>
  <c r="N32" i="41"/>
  <c r="I32" i="41"/>
  <c r="O21" i="51"/>
  <c r="H29" i="41" s="1"/>
  <c r="L22" i="51"/>
  <c r="L19" i="51"/>
  <c r="Q21" i="51"/>
  <c r="X31" i="41"/>
  <c r="H15" i="51"/>
  <c r="I15" i="51"/>
  <c r="J15" i="51"/>
  <c r="K15" i="51"/>
  <c r="L23" i="51"/>
  <c r="H31" i="41"/>
  <c r="J16" i="51"/>
  <c r="I16" i="51"/>
  <c r="K16" i="51"/>
  <c r="H16" i="51"/>
  <c r="H12" i="51"/>
  <c r="I12" i="51"/>
  <c r="J12" i="51"/>
  <c r="K12" i="51"/>
  <c r="L8" i="51"/>
  <c r="L10" i="51"/>
  <c r="L21" i="51"/>
  <c r="L6" i="51"/>
  <c r="H17" i="51"/>
  <c r="I17" i="51"/>
  <c r="K17" i="51"/>
  <c r="J17" i="51"/>
  <c r="H9" i="51"/>
  <c r="I9" i="51"/>
  <c r="J9" i="51"/>
  <c r="K9" i="51"/>
  <c r="H11" i="51"/>
  <c r="I11" i="51"/>
  <c r="K11" i="51"/>
  <c r="J11" i="51"/>
  <c r="L20" i="51"/>
  <c r="L18" i="51"/>
  <c r="L7" i="51"/>
  <c r="P21" i="51"/>
  <c r="M29" i="41" s="1"/>
  <c r="R21" i="51"/>
  <c r="M34" i="25"/>
  <c r="O22" i="51"/>
  <c r="M16" i="51"/>
  <c r="Q22" i="51"/>
  <c r="R30" i="41" s="1"/>
  <c r="P22" i="51"/>
  <c r="R22" i="51"/>
  <c r="M9" i="51"/>
  <c r="M11" i="51"/>
  <c r="M17" i="51"/>
  <c r="M12" i="51"/>
  <c r="M15" i="51"/>
  <c r="M33" i="25"/>
  <c r="P33" i="25" s="1"/>
  <c r="O23" i="51"/>
  <c r="R23" i="51"/>
  <c r="P23" i="51"/>
  <c r="Q23" i="51"/>
  <c r="P19" i="51"/>
  <c r="M27" i="41" s="1"/>
  <c r="R19" i="51"/>
  <c r="X27" i="41" s="1"/>
  <c r="Q20" i="51"/>
  <c r="R28" i="41" s="1"/>
  <c r="P20" i="51"/>
  <c r="M28" i="41" s="1"/>
  <c r="R20" i="51"/>
  <c r="P18" i="51"/>
  <c r="M26" i="41" s="1"/>
  <c r="N26" i="41" s="1"/>
  <c r="O18" i="51"/>
  <c r="O20" i="51"/>
  <c r="O19" i="51"/>
  <c r="Q19" i="51"/>
  <c r="R27" i="41" s="1"/>
  <c r="Q18" i="51"/>
  <c r="R26" i="41" s="1"/>
  <c r="R18" i="51"/>
  <c r="X26" i="41" s="1"/>
  <c r="M32" i="25"/>
  <c r="E30" i="41" s="1"/>
  <c r="F30" i="41" s="1"/>
  <c r="Q10" i="51"/>
  <c r="R18" i="41" s="1"/>
  <c r="M31" i="25"/>
  <c r="S26" i="25"/>
  <c r="S27" i="25"/>
  <c r="P6" i="51"/>
  <c r="M14" i="41" s="1"/>
  <c r="N14" i="41" s="1"/>
  <c r="Q7" i="51"/>
  <c r="R15" i="41" s="1"/>
  <c r="Q8" i="51"/>
  <c r="R16" i="41" s="1"/>
  <c r="O8" i="51"/>
  <c r="O10" i="51"/>
  <c r="P8" i="51"/>
  <c r="M16" i="41" s="1"/>
  <c r="R8" i="51"/>
  <c r="P7" i="51"/>
  <c r="M15" i="41" s="1"/>
  <c r="P10" i="51"/>
  <c r="M18" i="41" s="1"/>
  <c r="R10" i="51"/>
  <c r="R7" i="51"/>
  <c r="O7" i="51"/>
  <c r="R6" i="51"/>
  <c r="Q6" i="51"/>
  <c r="R14" i="41" s="1"/>
  <c r="O6" i="51"/>
  <c r="S16" i="25"/>
  <c r="X16" i="25" s="1"/>
  <c r="M30" i="25"/>
  <c r="E28" i="41" s="1"/>
  <c r="F28" i="41" s="1"/>
  <c r="S29" i="25"/>
  <c r="S28" i="25"/>
  <c r="F19" i="41"/>
  <c r="P22" i="25"/>
  <c r="Q22" i="25" s="1"/>
  <c r="F20" i="41"/>
  <c r="P21" i="25"/>
  <c r="R21" i="25" s="1"/>
  <c r="F17" i="41"/>
  <c r="P19" i="25"/>
  <c r="Q19" i="25" s="1"/>
  <c r="M29" i="25"/>
  <c r="P29" i="25" s="1"/>
  <c r="M28" i="25"/>
  <c r="M17" i="25"/>
  <c r="E15" i="41" s="1"/>
  <c r="F15" i="41" s="1"/>
  <c r="S22" i="25"/>
  <c r="W22" i="25" s="1"/>
  <c r="S21" i="25"/>
  <c r="W21" i="25" s="1"/>
  <c r="S23" i="25"/>
  <c r="X23" i="25" s="1"/>
  <c r="S24" i="25"/>
  <c r="X24" i="25" s="1"/>
  <c r="S17" i="25"/>
  <c r="Y17" i="25" s="1"/>
  <c r="R18" i="25"/>
  <c r="M26" i="25"/>
  <c r="E24" i="41" s="1"/>
  <c r="F24" i="41" s="1"/>
  <c r="M27" i="25"/>
  <c r="E25" i="41" s="1"/>
  <c r="F25" i="41" s="1"/>
  <c r="M25" i="25"/>
  <c r="E23" i="41" s="1"/>
  <c r="F23" i="41" s="1"/>
  <c r="O23" i="25"/>
  <c r="N23" i="25"/>
  <c r="H24" i="25"/>
  <c r="J14" i="25"/>
  <c r="J15" i="25" s="1"/>
  <c r="H23" i="25"/>
  <c r="I14" i="25"/>
  <c r="I15" i="25" s="1"/>
  <c r="N24" i="25"/>
  <c r="O24" i="25"/>
  <c r="R20" i="25"/>
  <c r="S18" i="25"/>
  <c r="Y18" i="25" s="1"/>
  <c r="S25" i="25"/>
  <c r="Y25" i="25" s="1"/>
  <c r="W20" i="25"/>
  <c r="Y20" i="25"/>
  <c r="X20" i="25"/>
  <c r="R16" i="25"/>
  <c r="K10" i="36"/>
  <c r="P10" i="36"/>
  <c r="Y12" i="41" s="1"/>
  <c r="C10" i="3"/>
  <c r="F14" i="41"/>
  <c r="I11" i="25"/>
  <c r="D2" i="36" s="1"/>
  <c r="R4" i="25"/>
  <c r="J11" i="25" s="1"/>
  <c r="E2" i="36" s="1"/>
  <c r="R5" i="25"/>
  <c r="K11" i="25" s="1"/>
  <c r="F2" i="36" s="1"/>
  <c r="R29" i="41" l="1"/>
  <c r="S29" i="41" s="1"/>
  <c r="X32" i="25"/>
  <c r="W32" i="25"/>
  <c r="Y32" i="25"/>
  <c r="F31" i="1"/>
  <c r="F31" i="47"/>
  <c r="F30" i="1"/>
  <c r="F29" i="1"/>
  <c r="F30" i="47"/>
  <c r="F29" i="47"/>
  <c r="I29" i="41"/>
  <c r="L11" i="51"/>
  <c r="L15" i="51"/>
  <c r="S31" i="41"/>
  <c r="N29" i="41"/>
  <c r="I31" i="41"/>
  <c r="J13" i="51"/>
  <c r="I13" i="51"/>
  <c r="K13" i="51"/>
  <c r="H13" i="51"/>
  <c r="L9" i="51"/>
  <c r="L12" i="51"/>
  <c r="L16" i="51"/>
  <c r="H14" i="51"/>
  <c r="I14" i="51"/>
  <c r="K14" i="51"/>
  <c r="J14" i="51"/>
  <c r="L17" i="51"/>
  <c r="S18" i="41"/>
  <c r="N18" i="41"/>
  <c r="H18" i="41"/>
  <c r="I18" i="41" s="1"/>
  <c r="H16" i="41"/>
  <c r="I16" i="41" s="1"/>
  <c r="S16" i="41"/>
  <c r="N16" i="41"/>
  <c r="N27" i="41"/>
  <c r="H27" i="41"/>
  <c r="I27" i="41" s="1"/>
  <c r="S27" i="41"/>
  <c r="S30" i="41"/>
  <c r="N30" i="41"/>
  <c r="H30" i="41"/>
  <c r="I30" i="41" s="1"/>
  <c r="H14" i="41"/>
  <c r="I14" i="41" s="1"/>
  <c r="S14" i="41"/>
  <c r="H28" i="41"/>
  <c r="I28" i="41" s="1"/>
  <c r="S28" i="41"/>
  <c r="N28" i="41"/>
  <c r="H26" i="41"/>
  <c r="I26" i="41" s="1"/>
  <c r="S26" i="41"/>
  <c r="X29" i="41"/>
  <c r="Z29" i="41" s="1"/>
  <c r="X14" i="41"/>
  <c r="Z14" i="41" s="1"/>
  <c r="X16" i="41"/>
  <c r="Z16" i="41" s="1"/>
  <c r="N15" i="41"/>
  <c r="H15" i="41"/>
  <c r="I15" i="41" s="1"/>
  <c r="S15" i="41"/>
  <c r="X28" i="41"/>
  <c r="Z28" i="41" s="1"/>
  <c r="X15" i="41"/>
  <c r="Z15" i="41" s="1"/>
  <c r="X30" i="41"/>
  <c r="Z30" i="41" s="1"/>
  <c r="X18" i="41"/>
  <c r="Z18" i="41" s="1"/>
  <c r="O16" i="51"/>
  <c r="H24" i="41" s="1"/>
  <c r="E32" i="41"/>
  <c r="F32" i="41" s="1"/>
  <c r="P34" i="25"/>
  <c r="Z27" i="41"/>
  <c r="Z26" i="41"/>
  <c r="M13" i="51"/>
  <c r="N31" i="41"/>
  <c r="Z31" i="41"/>
  <c r="M14" i="51"/>
  <c r="E31" i="41"/>
  <c r="F31" i="41" s="1"/>
  <c r="R33" i="25"/>
  <c r="Q33" i="25"/>
  <c r="Q16" i="51"/>
  <c r="R24" i="41" s="1"/>
  <c r="R16" i="51"/>
  <c r="P16" i="51"/>
  <c r="M24" i="41" s="1"/>
  <c r="R17" i="51"/>
  <c r="X25" i="41" s="1"/>
  <c r="Q17" i="51"/>
  <c r="R25" i="41" s="1"/>
  <c r="P17" i="51"/>
  <c r="M25" i="41" s="1"/>
  <c r="N25" i="41" s="1"/>
  <c r="O17" i="51"/>
  <c r="Q15" i="51"/>
  <c r="R23" i="41" s="1"/>
  <c r="P32" i="25"/>
  <c r="Q32" i="25" s="1"/>
  <c r="E29" i="41"/>
  <c r="F29" i="41" s="1"/>
  <c r="P31" i="25"/>
  <c r="Y27" i="25"/>
  <c r="W27" i="25"/>
  <c r="X27" i="25"/>
  <c r="Y26" i="25"/>
  <c r="W26" i="25"/>
  <c r="X26" i="25"/>
  <c r="P15" i="51"/>
  <c r="M23" i="41" s="1"/>
  <c r="Q9" i="51"/>
  <c r="R17" i="41" s="1"/>
  <c r="R9" i="51"/>
  <c r="P9" i="51"/>
  <c r="M17" i="41" s="1"/>
  <c r="O9" i="51"/>
  <c r="R15" i="51"/>
  <c r="O15" i="51"/>
  <c r="O12" i="51"/>
  <c r="R12" i="51"/>
  <c r="Q12" i="51"/>
  <c r="R20" i="41" s="1"/>
  <c r="P12" i="51"/>
  <c r="M20" i="41" s="1"/>
  <c r="R11" i="51"/>
  <c r="P11" i="51"/>
  <c r="M19" i="41" s="1"/>
  <c r="Q11" i="51"/>
  <c r="R19" i="41" s="1"/>
  <c r="O11" i="51"/>
  <c r="Y16" i="25"/>
  <c r="W16" i="25"/>
  <c r="P30" i="25"/>
  <c r="R30" i="25" s="1"/>
  <c r="X29" i="25"/>
  <c r="W29" i="25"/>
  <c r="Y29" i="25"/>
  <c r="X28" i="25"/>
  <c r="Y28" i="25"/>
  <c r="W28" i="25"/>
  <c r="R19" i="25"/>
  <c r="R22" i="25"/>
  <c r="Q21" i="25"/>
  <c r="E27" i="41"/>
  <c r="F27" i="41" s="1"/>
  <c r="R29" i="25"/>
  <c r="Q29" i="25"/>
  <c r="E26" i="41"/>
  <c r="P28" i="25"/>
  <c r="P17" i="25"/>
  <c r="Q17" i="25" s="1"/>
  <c r="Y21" i="25"/>
  <c r="Y24" i="25"/>
  <c r="W24" i="25"/>
  <c r="X22" i="25"/>
  <c r="Y22" i="25"/>
  <c r="X21" i="25"/>
  <c r="W23" i="25"/>
  <c r="Y23" i="25"/>
  <c r="X17" i="25"/>
  <c r="W17" i="25"/>
  <c r="P26" i="25"/>
  <c r="R26" i="25" s="1"/>
  <c r="P27" i="25"/>
  <c r="R27" i="25" s="1"/>
  <c r="M24" i="25"/>
  <c r="P25" i="25"/>
  <c r="R25" i="25" s="1"/>
  <c r="O14" i="25"/>
  <c r="O15" i="25" s="1"/>
  <c r="H14" i="25"/>
  <c r="M23" i="25"/>
  <c r="P23" i="25" s="1"/>
  <c r="N14" i="25"/>
  <c r="N15" i="25" s="1"/>
  <c r="W18" i="25"/>
  <c r="X18" i="25"/>
  <c r="X25" i="25"/>
  <c r="W25" i="25"/>
  <c r="R6" i="25"/>
  <c r="U11" i="25"/>
  <c r="J12" i="25"/>
  <c r="E3" i="36" s="1"/>
  <c r="AE3" i="25"/>
  <c r="T11" i="25"/>
  <c r="AE2" i="25"/>
  <c r="I12" i="25"/>
  <c r="D3" i="36" s="1"/>
  <c r="V11" i="25"/>
  <c r="K12" i="25"/>
  <c r="F3" i="36" s="1"/>
  <c r="AE4" i="25"/>
  <c r="X24" i="41" l="1"/>
  <c r="Z24" i="41" s="1"/>
  <c r="I24" i="41"/>
  <c r="L14" i="51"/>
  <c r="L13" i="51"/>
  <c r="X19" i="41"/>
  <c r="Z19" i="41" s="1"/>
  <c r="X20" i="41"/>
  <c r="Z20" i="41" s="1"/>
  <c r="S20" i="41"/>
  <c r="N20" i="41"/>
  <c r="H20" i="41"/>
  <c r="I20" i="41" s="1"/>
  <c r="H23" i="41"/>
  <c r="I23" i="41" s="1"/>
  <c r="N23" i="41"/>
  <c r="S23" i="41"/>
  <c r="S17" i="41"/>
  <c r="N17" i="41"/>
  <c r="H17" i="41"/>
  <c r="I17" i="41" s="1"/>
  <c r="X23" i="41"/>
  <c r="Z23" i="41" s="1"/>
  <c r="S19" i="41"/>
  <c r="N19" i="41"/>
  <c r="H19" i="41"/>
  <c r="I19" i="41" s="1"/>
  <c r="X17" i="41"/>
  <c r="Z17" i="41" s="1"/>
  <c r="H25" i="41"/>
  <c r="I25" i="41" s="1"/>
  <c r="S25" i="41"/>
  <c r="N24" i="41"/>
  <c r="S24" i="41"/>
  <c r="R34" i="25"/>
  <c r="Q34" i="25"/>
  <c r="Z25" i="41"/>
  <c r="Q14" i="51"/>
  <c r="R22" i="41" s="1"/>
  <c r="R32" i="25"/>
  <c r="Q31" i="25"/>
  <c r="R31" i="25"/>
  <c r="R13" i="51"/>
  <c r="O13" i="51"/>
  <c r="R14" i="51"/>
  <c r="P14" i="51"/>
  <c r="M22" i="41" s="1"/>
  <c r="P13" i="51"/>
  <c r="M21" i="41" s="1"/>
  <c r="Q13" i="51"/>
  <c r="R21" i="41" s="1"/>
  <c r="O14" i="51"/>
  <c r="Q30" i="25"/>
  <c r="F6" i="3"/>
  <c r="F4" i="36"/>
  <c r="E6" i="3"/>
  <c r="E4" i="36"/>
  <c r="D6" i="3"/>
  <c r="D4" i="36"/>
  <c r="R28" i="25"/>
  <c r="Q28" i="25"/>
  <c r="F26" i="41"/>
  <c r="R17" i="25"/>
  <c r="H15" i="25"/>
  <c r="G15" i="25" s="1"/>
  <c r="Q26" i="25"/>
  <c r="Q27" i="25"/>
  <c r="G14" i="25"/>
  <c r="Q25" i="25"/>
  <c r="E22" i="41"/>
  <c r="F22" i="41" s="1"/>
  <c r="P24" i="25"/>
  <c r="P14" i="25" s="1"/>
  <c r="P15" i="25" s="1"/>
  <c r="Q23" i="25"/>
  <c r="R23" i="25"/>
  <c r="E21" i="41"/>
  <c r="M14" i="25"/>
  <c r="M15" i="25" s="1"/>
  <c r="F28" i="1"/>
  <c r="F28" i="47"/>
  <c r="J13" i="25"/>
  <c r="K13" i="25"/>
  <c r="I13" i="25"/>
  <c r="S11" i="25"/>
  <c r="C4" i="36" s="1"/>
  <c r="AD2" i="25"/>
  <c r="AD4" i="25"/>
  <c r="AD3" i="25"/>
  <c r="S21" i="41" l="1"/>
  <c r="N21" i="41"/>
  <c r="H21" i="41"/>
  <c r="I21" i="41" s="1"/>
  <c r="X22" i="41"/>
  <c r="Z22" i="41" s="1"/>
  <c r="X21" i="41"/>
  <c r="Z21" i="41" s="1"/>
  <c r="S22" i="41"/>
  <c r="N22" i="41"/>
  <c r="H22" i="41"/>
  <c r="I22" i="41" s="1"/>
  <c r="Q4" i="41"/>
  <c r="T4" i="41"/>
  <c r="C6" i="2"/>
  <c r="E7" i="3"/>
  <c r="D7" i="3"/>
  <c r="B6" i="2"/>
  <c r="C7" i="3"/>
  <c r="A6" i="2"/>
  <c r="D6" i="2"/>
  <c r="F7" i="3"/>
  <c r="H13" i="25"/>
  <c r="G13" i="25" s="1"/>
  <c r="F5" i="36"/>
  <c r="D5" i="36"/>
  <c r="C5" i="36"/>
  <c r="E5" i="36"/>
  <c r="Q24" i="25"/>
  <c r="Q14" i="25" s="1"/>
  <c r="Q15" i="25" s="1"/>
  <c r="R24" i="25"/>
  <c r="R14" i="25" s="1"/>
  <c r="R15" i="25" s="1"/>
  <c r="E12" i="41"/>
  <c r="F21" i="41"/>
  <c r="F12" i="41" s="1"/>
  <c r="X11" i="25"/>
  <c r="W11" i="25"/>
  <c r="Y11" i="25"/>
  <c r="C6" i="3"/>
  <c r="I12" i="41" l="1"/>
  <c r="S12" i="41"/>
  <c r="N12" i="41"/>
  <c r="U4" i="41"/>
  <c r="P4" i="41"/>
  <c r="R12" i="41"/>
  <c r="M12" i="41"/>
  <c r="H12" i="41"/>
  <c r="F169" i="3"/>
  <c r="F133" i="3"/>
  <c r="F138" i="3"/>
  <c r="F143" i="3"/>
  <c r="F148" i="3"/>
  <c r="F153" i="3"/>
  <c r="F158" i="3"/>
  <c r="F163" i="3"/>
  <c r="F168" i="3"/>
  <c r="F132" i="3"/>
  <c r="F137" i="3"/>
  <c r="F142" i="3"/>
  <c r="F147" i="3"/>
  <c r="F152" i="3"/>
  <c r="F157" i="3"/>
  <c r="F162" i="3"/>
  <c r="F167" i="3"/>
  <c r="F131" i="3"/>
  <c r="F136" i="3"/>
  <c r="F141" i="3"/>
  <c r="F146" i="3"/>
  <c r="F151" i="3"/>
  <c r="F156" i="3"/>
  <c r="F161" i="3"/>
  <c r="F166" i="3"/>
  <c r="F130" i="3"/>
  <c r="F135" i="3"/>
  <c r="F140" i="3"/>
  <c r="F145" i="3"/>
  <c r="F150" i="3"/>
  <c r="F155" i="3"/>
  <c r="F160" i="3"/>
  <c r="F165" i="3"/>
  <c r="F129" i="3"/>
  <c r="F134" i="3"/>
  <c r="F139" i="3"/>
  <c r="F144" i="3"/>
  <c r="F149" i="3"/>
  <c r="F154" i="3"/>
  <c r="F159" i="3"/>
  <c r="F164" i="3"/>
  <c r="F128" i="3"/>
  <c r="F124" i="3"/>
  <c r="F121" i="3"/>
  <c r="F126" i="3"/>
  <c r="F118" i="3"/>
  <c r="F119" i="3"/>
  <c r="F123" i="3"/>
  <c r="F127" i="3"/>
  <c r="F125" i="3"/>
  <c r="F122" i="3"/>
  <c r="F120" i="3"/>
  <c r="F215" i="3"/>
  <c r="F171" i="3"/>
  <c r="F337" i="3"/>
  <c r="F259" i="3"/>
  <c r="F361" i="3"/>
  <c r="F307" i="3"/>
  <c r="F394" i="3"/>
  <c r="F173" i="3"/>
  <c r="F381" i="3"/>
  <c r="F312" i="3"/>
  <c r="F458" i="3"/>
  <c r="F392" i="3"/>
  <c r="F323" i="3"/>
  <c r="F182" i="3"/>
  <c r="F226" i="3"/>
  <c r="F225" i="3"/>
  <c r="F377" i="3"/>
  <c r="F329" i="3"/>
  <c r="F411" i="3"/>
  <c r="F410" i="3"/>
  <c r="F437" i="3"/>
  <c r="F341" i="3"/>
  <c r="F380" i="3"/>
  <c r="F447" i="3"/>
  <c r="F413" i="3"/>
  <c r="F346" i="3"/>
  <c r="F384" i="3"/>
  <c r="F386" i="3"/>
  <c r="F459" i="3"/>
  <c r="F418" i="3"/>
  <c r="F235" i="3"/>
  <c r="F388" i="3"/>
  <c r="F234" i="3"/>
  <c r="F281" i="3"/>
  <c r="F177" i="3"/>
  <c r="F457" i="3"/>
  <c r="F328" i="3"/>
  <c r="F247" i="3"/>
  <c r="F355" i="3"/>
  <c r="F301" i="3"/>
  <c r="F451" i="3"/>
  <c r="F379" i="3"/>
  <c r="F450" i="3"/>
  <c r="F372" i="3"/>
  <c r="F288" i="3"/>
  <c r="F446" i="3"/>
  <c r="F371" i="3"/>
  <c r="F320" i="3"/>
  <c r="F462" i="3"/>
  <c r="F315" i="3"/>
  <c r="F429" i="3"/>
  <c r="F218" i="3"/>
  <c r="F305" i="3"/>
  <c r="F383" i="3"/>
  <c r="F335" i="3"/>
  <c r="F375" i="3"/>
  <c r="F378" i="3"/>
  <c r="F350" i="3"/>
  <c r="F344" i="3"/>
  <c r="F431" i="3"/>
  <c r="F351" i="3"/>
  <c r="F415" i="3"/>
  <c r="F256" i="3"/>
  <c r="F327" i="3"/>
  <c r="F400" i="3"/>
  <c r="F408" i="3"/>
  <c r="F316" i="3"/>
  <c r="F306" i="3"/>
  <c r="F356" i="3"/>
  <c r="F267" i="3"/>
  <c r="F209" i="3"/>
  <c r="F240" i="3"/>
  <c r="F222" i="3"/>
  <c r="F251" i="3"/>
  <c r="F202" i="3"/>
  <c r="F199" i="3"/>
  <c r="F275" i="3"/>
  <c r="F200" i="3"/>
  <c r="F237" i="3"/>
  <c r="F187" i="3"/>
  <c r="F282" i="3"/>
  <c r="F196" i="3"/>
  <c r="F198" i="3"/>
  <c r="F172" i="3"/>
  <c r="F445" i="3"/>
  <c r="F319" i="3"/>
  <c r="F349" i="3"/>
  <c r="F289" i="3"/>
  <c r="F433" i="3"/>
  <c r="F373" i="3"/>
  <c r="F444" i="3"/>
  <c r="F360" i="3"/>
  <c r="F270" i="3"/>
  <c r="F440" i="3"/>
  <c r="F365" i="3"/>
  <c r="F317" i="3"/>
  <c r="F461" i="3"/>
  <c r="F324" i="3"/>
  <c r="F434" i="3"/>
  <c r="F405" i="3"/>
  <c r="F336" i="3"/>
  <c r="F359" i="3"/>
  <c r="F340" i="3"/>
  <c r="F367" i="3"/>
  <c r="F398" i="3"/>
  <c r="F455" i="3"/>
  <c r="F456" i="3"/>
  <c r="F399" i="3"/>
  <c r="F401" i="3"/>
  <c r="F368" i="3"/>
  <c r="F404" i="3"/>
  <c r="F262" i="3"/>
  <c r="F428" i="3"/>
  <c r="F417" i="3"/>
  <c r="F424" i="3"/>
  <c r="F332" i="3"/>
  <c r="F309" i="3"/>
  <c r="F420" i="3"/>
  <c r="F232" i="3"/>
  <c r="F183" i="3"/>
  <c r="F294" i="3"/>
  <c r="F213" i="3"/>
  <c r="F238" i="3"/>
  <c r="F236" i="3"/>
  <c r="F298" i="3"/>
  <c r="F205" i="3"/>
  <c r="F269" i="3"/>
  <c r="F249" i="3"/>
  <c r="F241" i="3"/>
  <c r="F175" i="3"/>
  <c r="F195" i="3"/>
  <c r="F280" i="3"/>
  <c r="F211" i="3"/>
  <c r="F229" i="3"/>
  <c r="F231" i="3"/>
  <c r="F286" i="3"/>
  <c r="F279" i="3"/>
  <c r="F181" i="3"/>
  <c r="F250" i="3"/>
  <c r="F421" i="3"/>
  <c r="F295" i="3"/>
  <c r="F442" i="3"/>
  <c r="F343" i="3"/>
  <c r="F283" i="3"/>
  <c r="F427" i="3"/>
  <c r="F334" i="3"/>
  <c r="F432" i="3"/>
  <c r="F348" i="3"/>
  <c r="F252" i="3"/>
  <c r="F425" i="3"/>
  <c r="F362" i="3"/>
  <c r="F311" i="3"/>
  <c r="F203" i="3"/>
  <c r="F402" i="3"/>
  <c r="F443" i="3"/>
  <c r="F339" i="3"/>
  <c r="F322" i="3"/>
  <c r="F374" i="3"/>
  <c r="F369" i="3"/>
  <c r="F330" i="3"/>
  <c r="F416" i="3"/>
  <c r="F366" i="3"/>
  <c r="F449" i="3"/>
  <c r="F353" i="3"/>
  <c r="F303" i="3"/>
  <c r="F376" i="3"/>
  <c r="F357" i="3"/>
  <c r="F426" i="3"/>
  <c r="F393" i="3"/>
  <c r="F197" i="3"/>
  <c r="F352" i="3"/>
  <c r="F194" i="3"/>
  <c r="F304" i="3"/>
  <c r="F345" i="3"/>
  <c r="F184" i="3"/>
  <c r="F285" i="3"/>
  <c r="F273" i="3"/>
  <c r="F214" i="3"/>
  <c r="F207" i="3"/>
  <c r="F239" i="3"/>
  <c r="F190" i="3"/>
  <c r="F246" i="3"/>
  <c r="F291" i="3"/>
  <c r="F192" i="3"/>
  <c r="F261" i="3"/>
  <c r="F220" i="3"/>
  <c r="F272" i="3"/>
  <c r="F176" i="3"/>
  <c r="F293" i="3"/>
  <c r="F180" i="3"/>
  <c r="F284" i="3"/>
  <c r="F201" i="3"/>
  <c r="F297" i="3"/>
  <c r="F186" i="3"/>
  <c r="F210" i="3"/>
  <c r="F266" i="3"/>
  <c r="F257" i="3"/>
  <c r="F274" i="3"/>
  <c r="F412" i="3"/>
  <c r="F271" i="3"/>
  <c r="F397" i="3"/>
  <c r="F325" i="3"/>
  <c r="F409" i="3"/>
  <c r="F310" i="3"/>
  <c r="F423" i="3"/>
  <c r="F342" i="3"/>
  <c r="F219" i="3"/>
  <c r="F422" i="3"/>
  <c r="F347" i="3"/>
  <c r="F308" i="3"/>
  <c r="F206" i="3"/>
  <c r="F221" i="3"/>
  <c r="F302" i="3"/>
  <c r="F363" i="3"/>
  <c r="F390" i="3"/>
  <c r="F385" i="3"/>
  <c r="F331" i="3"/>
  <c r="F387" i="3"/>
  <c r="F435" i="3"/>
  <c r="F448" i="3"/>
  <c r="F438" i="3"/>
  <c r="F389" i="3"/>
  <c r="F358" i="3"/>
  <c r="F395" i="3"/>
  <c r="F406" i="3"/>
  <c r="F414" i="3"/>
  <c r="F230" i="3"/>
  <c r="F326" i="3"/>
  <c r="F224" i="3"/>
  <c r="F258" i="3"/>
  <c r="F254" i="3"/>
  <c r="F244" i="3"/>
  <c r="F228" i="3"/>
  <c r="F243" i="3"/>
  <c r="F255" i="3"/>
  <c r="F292" i="3"/>
  <c r="F189" i="3"/>
  <c r="F223" i="3"/>
  <c r="F179" i="3"/>
  <c r="F276" i="3"/>
  <c r="F227" i="3"/>
  <c r="F242" i="3"/>
  <c r="F290" i="3"/>
  <c r="F174" i="3"/>
  <c r="F204" i="3"/>
  <c r="F370" i="3"/>
  <c r="F265" i="3"/>
  <c r="F391" i="3"/>
  <c r="F313" i="3"/>
  <c r="F403" i="3"/>
  <c r="F396" i="3"/>
  <c r="F333" i="3"/>
  <c r="F407" i="3"/>
  <c r="F338" i="3"/>
  <c r="F191" i="3"/>
  <c r="F460" i="3"/>
  <c r="F321" i="3"/>
  <c r="F452" i="3"/>
  <c r="F354" i="3"/>
  <c r="F436" i="3"/>
  <c r="F419" i="3"/>
  <c r="F453" i="3"/>
  <c r="F454" i="3"/>
  <c r="F318" i="3"/>
  <c r="F314" i="3"/>
  <c r="F430" i="3"/>
  <c r="F188" i="3"/>
  <c r="F300" i="3"/>
  <c r="F277" i="3"/>
  <c r="F441" i="3"/>
  <c r="F364" i="3"/>
  <c r="F439" i="3"/>
  <c r="F382" i="3"/>
  <c r="F264" i="3"/>
  <c r="F212" i="3"/>
  <c r="F263" i="3"/>
  <c r="F216" i="3"/>
  <c r="F248" i="3"/>
  <c r="F193" i="3"/>
  <c r="F260" i="3"/>
  <c r="F185" i="3"/>
  <c r="F253" i="3"/>
  <c r="F178" i="3"/>
  <c r="F245" i="3"/>
  <c r="F296" i="3"/>
  <c r="F278" i="3"/>
  <c r="F217" i="3"/>
  <c r="F299" i="3"/>
  <c r="F233" i="3"/>
  <c r="F208" i="3"/>
  <c r="F268" i="3"/>
  <c r="F287" i="3"/>
  <c r="E6" i="36"/>
  <c r="D6" i="36"/>
  <c r="F6" i="36"/>
  <c r="F21" i="47"/>
  <c r="F21" i="1"/>
  <c r="F12" i="3"/>
  <c r="E12" i="3"/>
  <c r="D12" i="3"/>
  <c r="N10" i="36"/>
  <c r="J10" i="36"/>
  <c r="L14" i="41" l="1"/>
  <c r="O14" i="41" s="1"/>
  <c r="G14" i="41"/>
  <c r="Q14" i="41"/>
  <c r="T14" i="41" s="1"/>
  <c r="Q22" i="41"/>
  <c r="Q70" i="41"/>
  <c r="Q41" i="41"/>
  <c r="Q59" i="41"/>
  <c r="Q67" i="41"/>
  <c r="Q99" i="41"/>
  <c r="Q50" i="41"/>
  <c r="Q98" i="41"/>
  <c r="Q51" i="41"/>
  <c r="Q44" i="41"/>
  <c r="Q21" i="41"/>
  <c r="Q38" i="41"/>
  <c r="Q45" i="41"/>
  <c r="Q28" i="41"/>
  <c r="Q34" i="41"/>
  <c r="Q30" i="41"/>
  <c r="Q102" i="41"/>
  <c r="Q105" i="41"/>
  <c r="Q101" i="41"/>
  <c r="Q49" i="41"/>
  <c r="Q86" i="41"/>
  <c r="Q62" i="41"/>
  <c r="Q32" i="41"/>
  <c r="Q107" i="41"/>
  <c r="Q73" i="41"/>
  <c r="Q96" i="41"/>
  <c r="Q97" i="41"/>
  <c r="Q110" i="41"/>
  <c r="Q48" i="41"/>
  <c r="Q68" i="41"/>
  <c r="Q88" i="41"/>
  <c r="Q31" i="41"/>
  <c r="Q24" i="41"/>
  <c r="Q64" i="41"/>
  <c r="Q82" i="41"/>
  <c r="Q78" i="41"/>
  <c r="Q71" i="41"/>
  <c r="Q79" i="41"/>
  <c r="Q111" i="41"/>
  <c r="Q23" i="41"/>
  <c r="Q18" i="41"/>
  <c r="Q63" i="41"/>
  <c r="Q100" i="41"/>
  <c r="Q81" i="41"/>
  <c r="Q55" i="41"/>
  <c r="Q57" i="41"/>
  <c r="Q53" i="41"/>
  <c r="Q46" i="41"/>
  <c r="Q42" i="41"/>
  <c r="Q77" i="41"/>
  <c r="Q61" i="41"/>
  <c r="Q113" i="41"/>
  <c r="Q94" i="41"/>
  <c r="Q80" i="41"/>
  <c r="Q69" i="41"/>
  <c r="Q47" i="41"/>
  <c r="Q19" i="41"/>
  <c r="Q40" i="41"/>
  <c r="Q20" i="41"/>
  <c r="Q16" i="41"/>
  <c r="Q60" i="41"/>
  <c r="Q37" i="41"/>
  <c r="Q90" i="41"/>
  <c r="Q108" i="41"/>
  <c r="Q91" i="41"/>
  <c r="Q26" i="41"/>
  <c r="T26" i="41" s="1"/>
  <c r="L35" i="48" s="1"/>
  <c r="N35" i="48" s="1"/>
  <c r="Q35" i="41"/>
  <c r="Q43" i="41"/>
  <c r="Q75" i="41"/>
  <c r="Q106" i="41"/>
  <c r="Q112" i="41"/>
  <c r="Q17" i="41"/>
  <c r="Q65" i="41"/>
  <c r="Q83" i="41"/>
  <c r="Q54" i="41"/>
  <c r="Q39" i="41"/>
  <c r="Q74" i="41"/>
  <c r="Q87" i="41"/>
  <c r="Q56" i="41"/>
  <c r="Q52" i="41"/>
  <c r="Q58" i="41"/>
  <c r="Q29" i="41"/>
  <c r="Q72" i="41"/>
  <c r="Q92" i="41"/>
  <c r="Q89" i="41"/>
  <c r="Q27" i="41"/>
  <c r="Q33" i="41"/>
  <c r="Q15" i="41"/>
  <c r="Q85" i="41"/>
  <c r="Q25" i="41"/>
  <c r="Q103" i="41"/>
  <c r="Q93" i="41"/>
  <c r="Q95" i="41"/>
  <c r="Q66" i="41"/>
  <c r="Q84" i="41"/>
  <c r="Q104" i="41"/>
  <c r="Q109" i="41"/>
  <c r="Q36" i="41"/>
  <c r="Q76" i="41"/>
  <c r="L22" i="41"/>
  <c r="O22" i="41" s="1"/>
  <c r="I31" i="48" s="1"/>
  <c r="K31" i="48" s="1"/>
  <c r="G31" i="41"/>
  <c r="J31" i="41" s="1"/>
  <c r="F40" i="48" s="1"/>
  <c r="H40" i="48" s="1"/>
  <c r="E31" i="49" s="1"/>
  <c r="L98" i="41"/>
  <c r="O98" i="41" s="1"/>
  <c r="I107" i="48" s="1"/>
  <c r="K107" i="48" s="1"/>
  <c r="L25" i="41"/>
  <c r="O25" i="41" s="1"/>
  <c r="I34" i="48" s="1"/>
  <c r="K34" i="48" s="1"/>
  <c r="L63" i="41"/>
  <c r="O63" i="41" s="1"/>
  <c r="I72" i="48" s="1"/>
  <c r="K72" i="48" s="1"/>
  <c r="L74" i="41"/>
  <c r="O74" i="41" s="1"/>
  <c r="I83" i="48" s="1"/>
  <c r="K83" i="48" s="1"/>
  <c r="L90" i="41"/>
  <c r="O90" i="41" s="1"/>
  <c r="I99" i="48" s="1"/>
  <c r="K99" i="48" s="1"/>
  <c r="L93" i="41"/>
  <c r="O93" i="41" s="1"/>
  <c r="I102" i="48" s="1"/>
  <c r="K102" i="48" s="1"/>
  <c r="L36" i="41"/>
  <c r="O36" i="41" s="1"/>
  <c r="I45" i="48" s="1"/>
  <c r="K45" i="48" s="1"/>
  <c r="L84" i="41"/>
  <c r="O84" i="41" s="1"/>
  <c r="I93" i="48" s="1"/>
  <c r="K93" i="48" s="1"/>
  <c r="L87" i="41"/>
  <c r="O87" i="41" s="1"/>
  <c r="I96" i="48" s="1"/>
  <c r="K96" i="48" s="1"/>
  <c r="L108" i="41"/>
  <c r="O108" i="41" s="1"/>
  <c r="I117" i="48" s="1"/>
  <c r="K117" i="48" s="1"/>
  <c r="L44" i="41"/>
  <c r="O44" i="41" s="1"/>
  <c r="I53" i="48" s="1"/>
  <c r="K53" i="48" s="1"/>
  <c r="L67" i="41"/>
  <c r="O67" i="41" s="1"/>
  <c r="I76" i="48" s="1"/>
  <c r="K76" i="48" s="1"/>
  <c r="L101" i="41"/>
  <c r="O101" i="41" s="1"/>
  <c r="I110" i="48" s="1"/>
  <c r="K110" i="48" s="1"/>
  <c r="L31" i="41"/>
  <c r="O31" i="41" s="1"/>
  <c r="I40" i="48" s="1"/>
  <c r="K40" i="48" s="1"/>
  <c r="L43" i="41"/>
  <c r="O43" i="41" s="1"/>
  <c r="I52" i="48" s="1"/>
  <c r="K52" i="48" s="1"/>
  <c r="L19" i="41"/>
  <c r="O19" i="41" s="1"/>
  <c r="I28" i="48" s="1"/>
  <c r="K28" i="48" s="1"/>
  <c r="L21" i="41"/>
  <c r="L91" i="41"/>
  <c r="O91" i="41" s="1"/>
  <c r="I100" i="48" s="1"/>
  <c r="K100" i="48" s="1"/>
  <c r="L62" i="41"/>
  <c r="O62" i="41" s="1"/>
  <c r="I71" i="48" s="1"/>
  <c r="K71" i="48" s="1"/>
  <c r="L95" i="41"/>
  <c r="O95" i="41" s="1"/>
  <c r="I104" i="48" s="1"/>
  <c r="K104" i="48" s="1"/>
  <c r="L27" i="41"/>
  <c r="O27" i="41" s="1"/>
  <c r="I36" i="48" s="1"/>
  <c r="K36" i="48" s="1"/>
  <c r="L61" i="41"/>
  <c r="O61" i="41" s="1"/>
  <c r="I70" i="48" s="1"/>
  <c r="K70" i="48" s="1"/>
  <c r="L54" i="41"/>
  <c r="O54" i="41" s="1"/>
  <c r="I63" i="48" s="1"/>
  <c r="K63" i="48" s="1"/>
  <c r="L57" i="41"/>
  <c r="O57" i="41" s="1"/>
  <c r="I66" i="48" s="1"/>
  <c r="K66" i="48" s="1"/>
  <c r="L107" i="41"/>
  <c r="O107" i="41" s="1"/>
  <c r="I116" i="48" s="1"/>
  <c r="K116" i="48" s="1"/>
  <c r="L48" i="41"/>
  <c r="O48" i="41" s="1"/>
  <c r="I57" i="48" s="1"/>
  <c r="K57" i="48" s="1"/>
  <c r="L51" i="41"/>
  <c r="O51" i="41" s="1"/>
  <c r="I60" i="48" s="1"/>
  <c r="K60" i="48" s="1"/>
  <c r="L71" i="41"/>
  <c r="O71" i="41" s="1"/>
  <c r="I80" i="48" s="1"/>
  <c r="K80" i="48" s="1"/>
  <c r="L109" i="41"/>
  <c r="O109" i="41" s="1"/>
  <c r="I118" i="48" s="1"/>
  <c r="K118" i="48" s="1"/>
  <c r="L35" i="41"/>
  <c r="O35" i="41" s="1"/>
  <c r="I44" i="48" s="1"/>
  <c r="K44" i="48" s="1"/>
  <c r="L69" i="41"/>
  <c r="O69" i="41" s="1"/>
  <c r="I78" i="48" s="1"/>
  <c r="K78" i="48" s="1"/>
  <c r="L105" i="41"/>
  <c r="O105" i="41" s="1"/>
  <c r="I114" i="48" s="1"/>
  <c r="K114" i="48" s="1"/>
  <c r="L15" i="41"/>
  <c r="O15" i="41" s="1"/>
  <c r="L16" i="41"/>
  <c r="O16" i="41" s="1"/>
  <c r="I25" i="48" s="1"/>
  <c r="K25" i="48" s="1"/>
  <c r="L32" i="41"/>
  <c r="O32" i="41" s="1"/>
  <c r="I41" i="48" s="1"/>
  <c r="K41" i="48" s="1"/>
  <c r="L60" i="41"/>
  <c r="O60" i="41" s="1"/>
  <c r="I69" i="48" s="1"/>
  <c r="K69" i="48" s="1"/>
  <c r="L58" i="41"/>
  <c r="O58" i="41" s="1"/>
  <c r="I67" i="48" s="1"/>
  <c r="K67" i="48" s="1"/>
  <c r="L92" i="41"/>
  <c r="O92" i="41" s="1"/>
  <c r="I101" i="48" s="1"/>
  <c r="K101" i="48" s="1"/>
  <c r="L88" i="41"/>
  <c r="O88" i="41" s="1"/>
  <c r="I97" i="48" s="1"/>
  <c r="K97" i="48" s="1"/>
  <c r="L86" i="41"/>
  <c r="O86" i="41" s="1"/>
  <c r="I95" i="48" s="1"/>
  <c r="K95" i="48" s="1"/>
  <c r="L45" i="41"/>
  <c r="O45" i="41" s="1"/>
  <c r="I54" i="48" s="1"/>
  <c r="K54" i="48" s="1"/>
  <c r="L76" i="41"/>
  <c r="O76" i="41" s="1"/>
  <c r="I85" i="48" s="1"/>
  <c r="K85" i="48" s="1"/>
  <c r="L100" i="41"/>
  <c r="O100" i="41" s="1"/>
  <c r="I109" i="48" s="1"/>
  <c r="K109" i="48" s="1"/>
  <c r="L17" i="41"/>
  <c r="O17" i="41" s="1"/>
  <c r="L24" i="41"/>
  <c r="O24" i="41" s="1"/>
  <c r="I33" i="48" s="1"/>
  <c r="K33" i="48" s="1"/>
  <c r="L103" i="41"/>
  <c r="O103" i="41" s="1"/>
  <c r="I112" i="48" s="1"/>
  <c r="K112" i="48" s="1"/>
  <c r="L52" i="41"/>
  <c r="O52" i="41" s="1"/>
  <c r="I61" i="48" s="1"/>
  <c r="K61" i="48" s="1"/>
  <c r="L38" i="41"/>
  <c r="O38" i="41" s="1"/>
  <c r="I47" i="48" s="1"/>
  <c r="K47" i="48" s="1"/>
  <c r="L46" i="41"/>
  <c r="O46" i="41" s="1"/>
  <c r="I55" i="48" s="1"/>
  <c r="K55" i="48" s="1"/>
  <c r="L80" i="41"/>
  <c r="O80" i="41" s="1"/>
  <c r="I89" i="48" s="1"/>
  <c r="K89" i="48" s="1"/>
  <c r="L111" i="41"/>
  <c r="O111" i="41" s="1"/>
  <c r="I120" i="48" s="1"/>
  <c r="K120" i="48" s="1"/>
  <c r="L64" i="41"/>
  <c r="O64" i="41" s="1"/>
  <c r="I73" i="48" s="1"/>
  <c r="K73" i="48" s="1"/>
  <c r="L104" i="41"/>
  <c r="O104" i="41" s="1"/>
  <c r="I113" i="48" s="1"/>
  <c r="K113" i="48" s="1"/>
  <c r="L26" i="41"/>
  <c r="O26" i="41" s="1"/>
  <c r="I35" i="48" s="1"/>
  <c r="K35" i="48" s="1"/>
  <c r="L59" i="41"/>
  <c r="O59" i="41" s="1"/>
  <c r="I68" i="48" s="1"/>
  <c r="K68" i="48" s="1"/>
  <c r="L78" i="41"/>
  <c r="O78" i="41" s="1"/>
  <c r="I87" i="48" s="1"/>
  <c r="K87" i="48" s="1"/>
  <c r="L34" i="41"/>
  <c r="O34" i="41" s="1"/>
  <c r="I43" i="48" s="1"/>
  <c r="K43" i="48" s="1"/>
  <c r="L89" i="41"/>
  <c r="O89" i="41" s="1"/>
  <c r="I98" i="48" s="1"/>
  <c r="K98" i="48" s="1"/>
  <c r="L77" i="41"/>
  <c r="O77" i="41" s="1"/>
  <c r="I86" i="48" s="1"/>
  <c r="K86" i="48" s="1"/>
  <c r="L106" i="41"/>
  <c r="O106" i="41" s="1"/>
  <c r="I115" i="48" s="1"/>
  <c r="K115" i="48" s="1"/>
  <c r="L83" i="41"/>
  <c r="O83" i="41" s="1"/>
  <c r="I92" i="48" s="1"/>
  <c r="K92" i="48" s="1"/>
  <c r="L41" i="41"/>
  <c r="O41" i="41" s="1"/>
  <c r="I50" i="48" s="1"/>
  <c r="K50" i="48" s="1"/>
  <c r="L55" i="41"/>
  <c r="O55" i="41" s="1"/>
  <c r="I64" i="48" s="1"/>
  <c r="K64" i="48" s="1"/>
  <c r="L42" i="41"/>
  <c r="O42" i="41" s="1"/>
  <c r="I51" i="48" s="1"/>
  <c r="K51" i="48" s="1"/>
  <c r="L102" i="41"/>
  <c r="O102" i="41" s="1"/>
  <c r="I111" i="48" s="1"/>
  <c r="K111" i="48" s="1"/>
  <c r="L28" i="41"/>
  <c r="O28" i="41" s="1"/>
  <c r="I37" i="48" s="1"/>
  <c r="K37" i="48" s="1"/>
  <c r="L75" i="41"/>
  <c r="O75" i="41" s="1"/>
  <c r="I84" i="48" s="1"/>
  <c r="K84" i="48" s="1"/>
  <c r="L18" i="41"/>
  <c r="O18" i="41" s="1"/>
  <c r="I27" i="48" s="1"/>
  <c r="K27" i="48" s="1"/>
  <c r="L23" i="41"/>
  <c r="O23" i="41" s="1"/>
  <c r="I32" i="48" s="1"/>
  <c r="K32" i="48" s="1"/>
  <c r="L33" i="41"/>
  <c r="O33" i="41" s="1"/>
  <c r="I42" i="48" s="1"/>
  <c r="K42" i="48" s="1"/>
  <c r="L68" i="41"/>
  <c r="O68" i="41" s="1"/>
  <c r="I77" i="48" s="1"/>
  <c r="K77" i="48" s="1"/>
  <c r="L96" i="41"/>
  <c r="O96" i="41" s="1"/>
  <c r="I105" i="48" s="1"/>
  <c r="K105" i="48" s="1"/>
  <c r="L94" i="41"/>
  <c r="O94" i="41" s="1"/>
  <c r="I103" i="48" s="1"/>
  <c r="K103" i="48" s="1"/>
  <c r="L40" i="41"/>
  <c r="O40" i="41" s="1"/>
  <c r="I49" i="48" s="1"/>
  <c r="K49" i="48" s="1"/>
  <c r="L97" i="41"/>
  <c r="O97" i="41" s="1"/>
  <c r="I106" i="48" s="1"/>
  <c r="K106" i="48" s="1"/>
  <c r="L53" i="41"/>
  <c r="O53" i="41" s="1"/>
  <c r="I62" i="48" s="1"/>
  <c r="K62" i="48" s="1"/>
  <c r="L79" i="41"/>
  <c r="O79" i="41" s="1"/>
  <c r="I88" i="48" s="1"/>
  <c r="K88" i="48" s="1"/>
  <c r="L85" i="41"/>
  <c r="O85" i="41" s="1"/>
  <c r="I94" i="48" s="1"/>
  <c r="K94" i="48" s="1"/>
  <c r="L47" i="41"/>
  <c r="O47" i="41" s="1"/>
  <c r="I56" i="48" s="1"/>
  <c r="K56" i="48" s="1"/>
  <c r="L73" i="41"/>
  <c r="O73" i="41" s="1"/>
  <c r="I82" i="48" s="1"/>
  <c r="K82" i="48" s="1"/>
  <c r="L70" i="41"/>
  <c r="O70" i="41" s="1"/>
  <c r="I79" i="48" s="1"/>
  <c r="K79" i="48" s="1"/>
  <c r="L113" i="41"/>
  <c r="O113" i="41" s="1"/>
  <c r="I122" i="48" s="1"/>
  <c r="K122" i="48" s="1"/>
  <c r="L29" i="41"/>
  <c r="O29" i="41" s="1"/>
  <c r="I38" i="48" s="1"/>
  <c r="K38" i="48" s="1"/>
  <c r="L66" i="41"/>
  <c r="O66" i="41" s="1"/>
  <c r="I75" i="48" s="1"/>
  <c r="K75" i="48" s="1"/>
  <c r="L65" i="41"/>
  <c r="O65" i="41" s="1"/>
  <c r="I74" i="48" s="1"/>
  <c r="K74" i="48" s="1"/>
  <c r="L20" i="41"/>
  <c r="O20" i="41" s="1"/>
  <c r="I29" i="48" s="1"/>
  <c r="K29" i="48" s="1"/>
  <c r="L81" i="41"/>
  <c r="O81" i="41" s="1"/>
  <c r="I90" i="48" s="1"/>
  <c r="K90" i="48" s="1"/>
  <c r="L112" i="41"/>
  <c r="O112" i="41" s="1"/>
  <c r="I121" i="48" s="1"/>
  <c r="K121" i="48" s="1"/>
  <c r="L82" i="41"/>
  <c r="O82" i="41" s="1"/>
  <c r="I91" i="48" s="1"/>
  <c r="K91" i="48" s="1"/>
  <c r="L49" i="41"/>
  <c r="O49" i="41" s="1"/>
  <c r="I58" i="48" s="1"/>
  <c r="K58" i="48" s="1"/>
  <c r="L39" i="41"/>
  <c r="O39" i="41" s="1"/>
  <c r="I48" i="48" s="1"/>
  <c r="K48" i="48" s="1"/>
  <c r="L37" i="41"/>
  <c r="O37" i="41" s="1"/>
  <c r="I46" i="48" s="1"/>
  <c r="K46" i="48" s="1"/>
  <c r="L99" i="41"/>
  <c r="O99" i="41" s="1"/>
  <c r="I108" i="48" s="1"/>
  <c r="K108" i="48" s="1"/>
  <c r="L56" i="41"/>
  <c r="O56" i="41" s="1"/>
  <c r="I65" i="48" s="1"/>
  <c r="K65" i="48" s="1"/>
  <c r="L50" i="41"/>
  <c r="O50" i="41" s="1"/>
  <c r="I59" i="48" s="1"/>
  <c r="K59" i="48" s="1"/>
  <c r="L110" i="41"/>
  <c r="O110" i="41" s="1"/>
  <c r="I119" i="48" s="1"/>
  <c r="K119" i="48" s="1"/>
  <c r="L72" i="41"/>
  <c r="O72" i="41" s="1"/>
  <c r="I81" i="48" s="1"/>
  <c r="K81" i="48" s="1"/>
  <c r="L30" i="41"/>
  <c r="O30" i="41" s="1"/>
  <c r="I39" i="48" s="1"/>
  <c r="K39" i="48" s="1"/>
  <c r="I23" i="48"/>
  <c r="K23" i="48" s="1"/>
  <c r="C12" i="3"/>
  <c r="C6" i="36"/>
  <c r="Q12" i="41" l="1"/>
  <c r="O4" i="41"/>
  <c r="L12" i="41"/>
  <c r="M8" i="41" s="1"/>
  <c r="L4" i="41"/>
  <c r="I24" i="48"/>
  <c r="K24" i="48" s="1"/>
  <c r="I26" i="48"/>
  <c r="K26" i="48" s="1"/>
  <c r="O21" i="41"/>
  <c r="O5" i="41" s="1"/>
  <c r="O6" i="41" l="1"/>
  <c r="O12" i="41"/>
  <c r="I30" i="48"/>
  <c r="K30" i="48" s="1"/>
  <c r="P5" i="41"/>
  <c r="P6" i="41" s="1"/>
  <c r="K21" i="48" l="1"/>
  <c r="P13" i="41"/>
  <c r="J22" i="48" s="1"/>
  <c r="I21" i="48"/>
  <c r="E9" i="3" l="1"/>
  <c r="E11" i="3" s="1"/>
  <c r="H20" i="3"/>
  <c r="F9" i="3"/>
  <c r="F11" i="3" s="1"/>
  <c r="D9" i="3"/>
  <c r="D11" i="3" s="1"/>
  <c r="E19" i="25"/>
  <c r="I16" i="36"/>
  <c r="I11" i="36" s="1"/>
  <c r="I10" i="36" s="1"/>
  <c r="M16" i="36"/>
  <c r="T19" i="25" l="1"/>
  <c r="T14" i="25" s="1"/>
  <c r="T13" i="25" s="1"/>
  <c r="V19" i="25"/>
  <c r="V14" i="25" s="1"/>
  <c r="V13" i="25" s="1"/>
  <c r="O12" i="48"/>
  <c r="O13" i="48" s="1"/>
  <c r="I12" i="48"/>
  <c r="I13" i="48" s="1"/>
  <c r="E26" i="48"/>
  <c r="U19" i="25"/>
  <c r="U14" i="25" s="1"/>
  <c r="M11" i="36"/>
  <c r="M10" i="36" s="1"/>
  <c r="C11" i="3"/>
  <c r="C9" i="3"/>
  <c r="F16" i="46"/>
  <c r="F12" i="46" s="1"/>
  <c r="D17" i="49"/>
  <c r="D13" i="49" s="1"/>
  <c r="Q12" i="48" l="1"/>
  <c r="Q13" i="48" s="1"/>
  <c r="K12" i="48"/>
  <c r="K13" i="48" s="1"/>
  <c r="E21" i="48"/>
  <c r="P12" i="48"/>
  <c r="P13" i="48" s="1"/>
  <c r="P14" i="48"/>
  <c r="J14" i="48"/>
  <c r="J12" i="48"/>
  <c r="J13" i="48" s="1"/>
  <c r="S19" i="25"/>
  <c r="X19" i="25" s="1"/>
  <c r="U13" i="25"/>
  <c r="P15" i="48" l="1"/>
  <c r="P17" i="48" s="1"/>
  <c r="P16" i="48"/>
  <c r="J15" i="48"/>
  <c r="J17" i="48" s="1"/>
  <c r="J16" i="48"/>
  <c r="S14" i="25"/>
  <c r="X14" i="25" s="1"/>
  <c r="W19" i="25"/>
  <c r="Y19" i="25"/>
  <c r="S13" i="25"/>
  <c r="W14" i="25" l="1"/>
  <c r="E4" i="25"/>
  <c r="F8" i="3" s="1"/>
  <c r="D4" i="25"/>
  <c r="E8" i="3" s="1"/>
  <c r="C4" i="25"/>
  <c r="D8" i="3" s="1"/>
  <c r="Y14" i="25"/>
  <c r="Y13" i="25"/>
  <c r="W13" i="25"/>
  <c r="X13" i="25"/>
  <c r="C8" i="3" l="1"/>
  <c r="B4" i="25"/>
  <c r="T87" i="41" l="1"/>
  <c r="T50" i="41"/>
  <c r="T67" i="41"/>
  <c r="T54" i="41"/>
  <c r="T43" i="41"/>
  <c r="T33" i="41"/>
  <c r="L42" i="48" s="1"/>
  <c r="N42" i="48" s="1"/>
  <c r="T76" i="41"/>
  <c r="T98" i="41"/>
  <c r="T57" i="41"/>
  <c r="T88" i="41"/>
  <c r="T47" i="41"/>
  <c r="T34" i="41"/>
  <c r="T22" i="41"/>
  <c r="T20" i="41"/>
  <c r="T56" i="41"/>
  <c r="L65" i="48" s="1"/>
  <c r="N65" i="48" s="1"/>
  <c r="T40" i="41"/>
  <c r="T100" i="41"/>
  <c r="L109" i="48" s="1"/>
  <c r="N109" i="48" s="1"/>
  <c r="T74" i="41"/>
  <c r="T112" i="41"/>
  <c r="T113" i="41"/>
  <c r="T46" i="41"/>
  <c r="T108" i="41"/>
  <c r="T37" i="41"/>
  <c r="T86" i="41"/>
  <c r="T66" i="41"/>
  <c r="T68" i="41"/>
  <c r="T36" i="41"/>
  <c r="T73" i="41"/>
  <c r="T99" i="41"/>
  <c r="T65" i="41"/>
  <c r="T91" i="41"/>
  <c r="L100" i="48" s="1"/>
  <c r="N100" i="48" s="1"/>
  <c r="T89" i="41"/>
  <c r="L98" i="48" s="1"/>
  <c r="N98" i="48" s="1"/>
  <c r="T18" i="41"/>
  <c r="T48" i="41"/>
  <c r="L57" i="48" s="1"/>
  <c r="N57" i="48" s="1"/>
  <c r="T41" i="41"/>
  <c r="T60" i="41"/>
  <c r="T84" i="41"/>
  <c r="T39" i="41"/>
  <c r="T49" i="41"/>
  <c r="T96" i="41"/>
  <c r="T24" i="41"/>
  <c r="T97" i="41"/>
  <c r="L106" i="48" s="1"/>
  <c r="N106" i="48" s="1"/>
  <c r="T19" i="41"/>
  <c r="T63" i="41"/>
  <c r="T51" i="41"/>
  <c r="T106" i="41"/>
  <c r="T105" i="41"/>
  <c r="L114" i="48" s="1"/>
  <c r="N114" i="48" s="1"/>
  <c r="T30" i="41"/>
  <c r="T80" i="41"/>
  <c r="T75" i="41"/>
  <c r="T83" i="41"/>
  <c r="T85" i="41"/>
  <c r="L94" i="48" s="1"/>
  <c r="N94" i="48" s="1"/>
  <c r="T59" i="41"/>
  <c r="T55" i="41"/>
  <c r="T70" i="41"/>
  <c r="T25" i="41"/>
  <c r="L34" i="48" s="1"/>
  <c r="N34" i="48" s="1"/>
  <c r="T103" i="41"/>
  <c r="T35" i="41"/>
  <c r="T42" i="41"/>
  <c r="L51" i="48" s="1"/>
  <c r="N51" i="48" s="1"/>
  <c r="T64" i="41"/>
  <c r="T82" i="41"/>
  <c r="T62" i="41"/>
  <c r="T78" i="41"/>
  <c r="T102" i="41"/>
  <c r="T45" i="41"/>
  <c r="T52" i="41"/>
  <c r="T107" i="41"/>
  <c r="T23" i="41"/>
  <c r="T38" i="41"/>
  <c r="L47" i="48" s="1"/>
  <c r="N47" i="48" s="1"/>
  <c r="T21" i="41"/>
  <c r="T77" i="41"/>
  <c r="L86" i="48" s="1"/>
  <c r="N86" i="48" s="1"/>
  <c r="T109" i="41"/>
  <c r="T69" i="41"/>
  <c r="L78" i="48" s="1"/>
  <c r="N78" i="48" s="1"/>
  <c r="T53" i="41"/>
  <c r="T81" i="41"/>
  <c r="L90" i="48" s="1"/>
  <c r="N90" i="48" s="1"/>
  <c r="T92" i="41"/>
  <c r="T95" i="41"/>
  <c r="L104" i="48" s="1"/>
  <c r="N104" i="48" s="1"/>
  <c r="T32" i="41"/>
  <c r="L41" i="48" s="1"/>
  <c r="N41" i="48" s="1"/>
  <c r="T94" i="41"/>
  <c r="L103" i="48" s="1"/>
  <c r="N103" i="48" s="1"/>
  <c r="T16" i="41"/>
  <c r="T110" i="41"/>
  <c r="L119" i="48" s="1"/>
  <c r="N119" i="48" s="1"/>
  <c r="T71" i="41"/>
  <c r="T31" i="41"/>
  <c r="L40" i="48" s="1"/>
  <c r="N40" i="48" s="1"/>
  <c r="T58" i="41"/>
  <c r="L67" i="48" s="1"/>
  <c r="N67" i="48" s="1"/>
  <c r="T101" i="41"/>
  <c r="T17" i="41"/>
  <c r="T79" i="41"/>
  <c r="L88" i="48" s="1"/>
  <c r="N88" i="48" s="1"/>
  <c r="T27" i="41"/>
  <c r="T104" i="41"/>
  <c r="T93" i="41"/>
  <c r="L102" i="48" s="1"/>
  <c r="N102" i="48" s="1"/>
  <c r="T111" i="41"/>
  <c r="T90" i="41"/>
  <c r="T72" i="41"/>
  <c r="T44" i="41"/>
  <c r="L53" i="48" s="1"/>
  <c r="N53" i="48" s="1"/>
  <c r="T15" i="41"/>
  <c r="T61" i="41"/>
  <c r="T28" i="41"/>
  <c r="T29" i="41" l="1"/>
  <c r="L83" i="48"/>
  <c r="N83" i="48" s="1"/>
  <c r="L55" i="48"/>
  <c r="N55" i="48" s="1"/>
  <c r="L70" i="48"/>
  <c r="N70" i="48" s="1"/>
  <c r="L31" i="48"/>
  <c r="N31" i="48" s="1"/>
  <c r="L89" i="48"/>
  <c r="N89" i="48" s="1"/>
  <c r="L77" i="48"/>
  <c r="N77" i="48" s="1"/>
  <c r="L108" i="48"/>
  <c r="N108" i="48" s="1"/>
  <c r="L99" i="48"/>
  <c r="N99" i="48" s="1"/>
  <c r="L54" i="48"/>
  <c r="N54" i="48" s="1"/>
  <c r="L37" i="48"/>
  <c r="N37" i="48" s="1"/>
  <c r="L113" i="48"/>
  <c r="N113" i="48" s="1"/>
  <c r="L97" i="48"/>
  <c r="N97" i="48" s="1"/>
  <c r="L62" i="48"/>
  <c r="N62" i="48" s="1"/>
  <c r="L30" i="48"/>
  <c r="N30" i="48" s="1"/>
  <c r="L32" i="48"/>
  <c r="N32" i="48" s="1"/>
  <c r="L68" i="48"/>
  <c r="N68" i="48" s="1"/>
  <c r="L81" i="48"/>
  <c r="N81" i="48" s="1"/>
  <c r="L69" i="48"/>
  <c r="N69" i="48" s="1"/>
  <c r="L117" i="48"/>
  <c r="N117" i="48" s="1"/>
  <c r="L56" i="48"/>
  <c r="N56" i="48" s="1"/>
  <c r="L71" i="48"/>
  <c r="N71" i="48" s="1"/>
  <c r="L64" i="48"/>
  <c r="N64" i="48" s="1"/>
  <c r="L33" i="48"/>
  <c r="N33" i="48" s="1"/>
  <c r="L121" i="48"/>
  <c r="N121" i="48" s="1"/>
  <c r="L66" i="48"/>
  <c r="N66" i="48" s="1"/>
  <c r="L52" i="48"/>
  <c r="N52" i="48" s="1"/>
  <c r="L59" i="48"/>
  <c r="N59" i="48" s="1"/>
  <c r="L122" i="48"/>
  <c r="N122" i="48" s="1"/>
  <c r="L91" i="48"/>
  <c r="N91" i="48" s="1"/>
  <c r="L44" i="48"/>
  <c r="N44" i="48" s="1"/>
  <c r="L105" i="48"/>
  <c r="N105" i="48" s="1"/>
  <c r="L93" i="48"/>
  <c r="N93" i="48" s="1"/>
  <c r="L74" i="48"/>
  <c r="N74" i="48" s="1"/>
  <c r="L75" i="48"/>
  <c r="N75" i="48" s="1"/>
  <c r="L107" i="48"/>
  <c r="N107" i="48" s="1"/>
  <c r="L63" i="48"/>
  <c r="N63" i="48" s="1"/>
  <c r="L73" i="48"/>
  <c r="N73" i="48" s="1"/>
  <c r="L112" i="48"/>
  <c r="N112" i="48" s="1"/>
  <c r="L72" i="48"/>
  <c r="N72" i="48" s="1"/>
  <c r="L58" i="48"/>
  <c r="N58" i="48" s="1"/>
  <c r="L27" i="48"/>
  <c r="N27" i="48" s="1"/>
  <c r="L95" i="48"/>
  <c r="N95" i="48" s="1"/>
  <c r="L49" i="48"/>
  <c r="N49" i="48" s="1"/>
  <c r="L85" i="48"/>
  <c r="N85" i="48" s="1"/>
  <c r="L87" i="48"/>
  <c r="N87" i="48" s="1"/>
  <c r="L115" i="48"/>
  <c r="N115" i="48" s="1"/>
  <c r="L29" i="48"/>
  <c r="N29" i="48" s="1"/>
  <c r="L28" i="48"/>
  <c r="N28" i="48" s="1"/>
  <c r="L96" i="48"/>
  <c r="N96" i="48" s="1"/>
  <c r="L79" i="48"/>
  <c r="N79" i="48" s="1"/>
  <c r="L48" i="48"/>
  <c r="N48" i="48" s="1"/>
  <c r="L46" i="48"/>
  <c r="N46" i="48" s="1"/>
  <c r="L43" i="48"/>
  <c r="N43" i="48" s="1"/>
  <c r="L76" i="48"/>
  <c r="N76" i="48" s="1"/>
  <c r="L116" i="48"/>
  <c r="N116" i="48" s="1"/>
  <c r="L50" i="48"/>
  <c r="N50" i="48" s="1"/>
  <c r="L26" i="48"/>
  <c r="N26" i="48" s="1"/>
  <c r="U5" i="41"/>
  <c r="U6" i="41" s="1"/>
  <c r="L25" i="48"/>
  <c r="N25" i="48" s="1"/>
  <c r="M14" i="48"/>
  <c r="L92" i="48"/>
  <c r="N92" i="48" s="1"/>
  <c r="L45" i="48"/>
  <c r="N45" i="48" s="1"/>
  <c r="L80" i="48"/>
  <c r="N80" i="48" s="1"/>
  <c r="L120" i="48"/>
  <c r="N120" i="48" s="1"/>
  <c r="L60" i="48"/>
  <c r="N60" i="48" s="1"/>
  <c r="L101" i="48"/>
  <c r="N101" i="48" s="1"/>
  <c r="L24" i="48"/>
  <c r="N24" i="48" s="1"/>
  <c r="L110" i="48"/>
  <c r="N110" i="48" s="1"/>
  <c r="L118" i="48"/>
  <c r="N118" i="48" s="1"/>
  <c r="L61" i="48"/>
  <c r="N61" i="48" s="1"/>
  <c r="AC31" i="41"/>
  <c r="L39" i="48"/>
  <c r="N39" i="48" s="1"/>
  <c r="L84" i="48"/>
  <c r="N84" i="48" s="1"/>
  <c r="L111" i="48"/>
  <c r="N111" i="48" s="1"/>
  <c r="L23" i="48"/>
  <c r="L36" i="48"/>
  <c r="N36" i="48" s="1"/>
  <c r="L82" i="48"/>
  <c r="N82" i="48" s="1"/>
  <c r="T5" i="41" l="1"/>
  <c r="T6" i="41" s="1"/>
  <c r="R8" i="41"/>
  <c r="T12" i="41"/>
  <c r="U13" i="41" s="1"/>
  <c r="L38" i="48"/>
  <c r="N38" i="48" s="1"/>
  <c r="M12" i="48"/>
  <c r="M13" i="48" s="1"/>
  <c r="N23" i="48"/>
  <c r="L12" i="48" s="1"/>
  <c r="L13" i="48" s="1"/>
  <c r="M15" i="48"/>
  <c r="M22" i="48" l="1"/>
  <c r="N12" i="48"/>
  <c r="N13" i="48" s="1"/>
  <c r="N21" i="48"/>
  <c r="L21" i="48"/>
  <c r="M16" i="48"/>
  <c r="M17" i="48"/>
  <c r="X12" i="41" l="1"/>
  <c r="Z12" i="41" l="1"/>
  <c r="W15" i="41" l="1"/>
  <c r="W14" i="41"/>
  <c r="W26" i="41"/>
  <c r="W24" i="41"/>
  <c r="W109" i="41"/>
  <c r="Y109" i="41" s="1"/>
  <c r="W90" i="41"/>
  <c r="Y90" i="41" s="1"/>
  <c r="W54" i="41"/>
  <c r="Y54" i="41" s="1"/>
  <c r="W67" i="41"/>
  <c r="Y67" i="41" s="1"/>
  <c r="W89" i="41"/>
  <c r="Y89" i="41" s="1"/>
  <c r="W53" i="41"/>
  <c r="Y53" i="41" s="1"/>
  <c r="W61" i="41"/>
  <c r="Y61" i="41" s="1"/>
  <c r="W88" i="41"/>
  <c r="Y88" i="41" s="1"/>
  <c r="W52" i="41"/>
  <c r="Y52" i="41" s="1"/>
  <c r="W43" i="41"/>
  <c r="Y43" i="41" s="1"/>
  <c r="W81" i="41"/>
  <c r="Y81" i="41" s="1"/>
  <c r="W45" i="41"/>
  <c r="Y45" i="41" s="1"/>
  <c r="W104" i="41"/>
  <c r="Y104" i="41" s="1"/>
  <c r="W68" i="41"/>
  <c r="Y68" i="41" s="1"/>
  <c r="W32" i="41"/>
  <c r="W59" i="41"/>
  <c r="Y59" i="41" s="1"/>
  <c r="W87" i="41"/>
  <c r="Y87" i="41" s="1"/>
  <c r="W79" i="41"/>
  <c r="Y79" i="41" s="1"/>
  <c r="W84" i="41"/>
  <c r="Y84" i="41" s="1"/>
  <c r="W48" i="41"/>
  <c r="Y48" i="41" s="1"/>
  <c r="W31" i="41"/>
  <c r="W83" i="41"/>
  <c r="Y83" i="41" s="1"/>
  <c r="W47" i="41"/>
  <c r="Y47" i="41" s="1"/>
  <c r="W37" i="41"/>
  <c r="Y37" i="41" s="1"/>
  <c r="W82" i="41"/>
  <c r="Y82" i="41" s="1"/>
  <c r="W46" i="41"/>
  <c r="Y46" i="41" s="1"/>
  <c r="W111" i="41"/>
  <c r="Y111" i="41" s="1"/>
  <c r="W75" i="41"/>
  <c r="Y75" i="41" s="1"/>
  <c r="W39" i="41"/>
  <c r="Y39" i="41" s="1"/>
  <c r="W98" i="41"/>
  <c r="Y98" i="41" s="1"/>
  <c r="W62" i="41"/>
  <c r="Y62" i="41" s="1"/>
  <c r="W95" i="41"/>
  <c r="Y95" i="41" s="1"/>
  <c r="W51" i="41"/>
  <c r="Y51" i="41" s="1"/>
  <c r="W49" i="41"/>
  <c r="Y49" i="41" s="1"/>
  <c r="W78" i="41"/>
  <c r="Y78" i="41" s="1"/>
  <c r="W42" i="41"/>
  <c r="Y42" i="41" s="1"/>
  <c r="W113" i="41"/>
  <c r="Y113" i="41" s="1"/>
  <c r="W77" i="41"/>
  <c r="Y77" i="41" s="1"/>
  <c r="W41" i="41"/>
  <c r="Y41" i="41" s="1"/>
  <c r="W112" i="41"/>
  <c r="Y112" i="41" s="1"/>
  <c r="W76" i="41"/>
  <c r="Y76" i="41" s="1"/>
  <c r="W40" i="41"/>
  <c r="Y40" i="41" s="1"/>
  <c r="W105" i="41"/>
  <c r="Y105" i="41" s="1"/>
  <c r="W69" i="41"/>
  <c r="Y69" i="41" s="1"/>
  <c r="W33" i="41"/>
  <c r="Y33" i="41" s="1"/>
  <c r="W92" i="41"/>
  <c r="Y92" i="41" s="1"/>
  <c r="W56" i="41"/>
  <c r="Y56" i="41" s="1"/>
  <c r="W103" i="41"/>
  <c r="Y103" i="41" s="1"/>
  <c r="W58" i="41"/>
  <c r="Y58" i="41" s="1"/>
  <c r="W74" i="41"/>
  <c r="Y74" i="41" s="1"/>
  <c r="W108" i="41"/>
  <c r="Y108" i="41" s="1"/>
  <c r="W72" i="41"/>
  <c r="Y72" i="41" s="1"/>
  <c r="W36" i="41"/>
  <c r="Y36" i="41" s="1"/>
  <c r="W107" i="41"/>
  <c r="Y107" i="41" s="1"/>
  <c r="W71" i="41"/>
  <c r="Y71" i="41" s="1"/>
  <c r="W35" i="41"/>
  <c r="Y35" i="41" s="1"/>
  <c r="W106" i="41"/>
  <c r="Y106" i="41" s="1"/>
  <c r="W70" i="41"/>
  <c r="Y70" i="41" s="1"/>
  <c r="W34" i="41"/>
  <c r="Y34" i="41" s="1"/>
  <c r="W99" i="41"/>
  <c r="Y99" i="41" s="1"/>
  <c r="W63" i="41"/>
  <c r="Y63" i="41" s="1"/>
  <c r="W85" i="41"/>
  <c r="Y85" i="41" s="1"/>
  <c r="W86" i="41"/>
  <c r="Y86" i="41" s="1"/>
  <c r="W50" i="41"/>
  <c r="Y50" i="41" s="1"/>
  <c r="W60" i="41"/>
  <c r="Y60" i="41" s="1"/>
  <c r="W73" i="41"/>
  <c r="Y73" i="41" s="1"/>
  <c r="W38" i="41"/>
  <c r="Y38" i="41" s="1"/>
  <c r="W102" i="41"/>
  <c r="Y102" i="41" s="1"/>
  <c r="W66" i="41"/>
  <c r="Y66" i="41" s="1"/>
  <c r="W30" i="41"/>
  <c r="W101" i="41"/>
  <c r="Y101" i="41" s="1"/>
  <c r="W65" i="41"/>
  <c r="Y65" i="41" s="1"/>
  <c r="W29" i="41"/>
  <c r="W100" i="41"/>
  <c r="Y100" i="41" s="1"/>
  <c r="W64" i="41"/>
  <c r="Y64" i="41" s="1"/>
  <c r="W97" i="41"/>
  <c r="Y97" i="41" s="1"/>
  <c r="W93" i="41"/>
  <c r="Y93" i="41" s="1"/>
  <c r="W57" i="41"/>
  <c r="Y57" i="41" s="1"/>
  <c r="W55" i="41"/>
  <c r="Y55" i="41" s="1"/>
  <c r="W80" i="41"/>
  <c r="Y80" i="41" s="1"/>
  <c r="W44" i="41"/>
  <c r="Y44" i="41" s="1"/>
  <c r="W96" i="41"/>
  <c r="Y96" i="41" s="1"/>
  <c r="W91" i="41"/>
  <c r="Y91" i="41" s="1"/>
  <c r="W94" i="41"/>
  <c r="Y94" i="41" s="1"/>
  <c r="W110" i="41"/>
  <c r="Y110" i="41" s="1"/>
  <c r="W25" i="41"/>
  <c r="W19" i="41"/>
  <c r="W27" i="41"/>
  <c r="W28" i="41"/>
  <c r="W21" i="41"/>
  <c r="W23" i="41"/>
  <c r="W22" i="41"/>
  <c r="W20" i="41"/>
  <c r="W18" i="41"/>
  <c r="W16" i="41"/>
  <c r="W17" i="41"/>
  <c r="Y32" i="41" l="1"/>
  <c r="Y31" i="41"/>
  <c r="Y30" i="41"/>
  <c r="Y29" i="41"/>
  <c r="Y14" i="41"/>
  <c r="Y28" i="41"/>
  <c r="Y27" i="41"/>
  <c r="Y20" i="41"/>
  <c r="Y26" i="41"/>
  <c r="Y24" i="41"/>
  <c r="Y17" i="41"/>
  <c r="Y22" i="41"/>
  <c r="Y23" i="41"/>
  <c r="Y25" i="41"/>
  <c r="Y21" i="41"/>
  <c r="Y19" i="41"/>
  <c r="Y15" i="41"/>
  <c r="Y16" i="41"/>
  <c r="Y18" i="41"/>
  <c r="W12" i="41"/>
  <c r="V38" i="41" s="1"/>
  <c r="V18" i="41" l="1"/>
  <c r="V24" i="41"/>
  <c r="V39" i="41"/>
  <c r="V45" i="41"/>
  <c r="V91" i="41"/>
  <c r="V89" i="41"/>
  <c r="V84" i="41"/>
  <c r="V77" i="41"/>
  <c r="V59" i="41"/>
  <c r="V103" i="41"/>
  <c r="V54" i="41"/>
  <c r="V95" i="41"/>
  <c r="V15" i="41"/>
  <c r="V109" i="41"/>
  <c r="V79" i="41"/>
  <c r="V61" i="41"/>
  <c r="V52" i="41"/>
  <c r="V107" i="41"/>
  <c r="V104" i="41"/>
  <c r="V65" i="41"/>
  <c r="V112" i="41"/>
  <c r="V63" i="41"/>
  <c r="V73" i="41"/>
  <c r="V42" i="41"/>
  <c r="V81" i="41"/>
  <c r="V51" i="41"/>
  <c r="V101" i="41"/>
  <c r="V56" i="41"/>
  <c r="V106" i="41"/>
  <c r="V26" i="41"/>
  <c r="V94" i="41"/>
  <c r="V97" i="41"/>
  <c r="V30" i="41"/>
  <c r="V33" i="41"/>
  <c r="V100" i="41"/>
  <c r="V82" i="41"/>
  <c r="V19" i="41"/>
  <c r="V46" i="41"/>
  <c r="V16" i="41"/>
  <c r="V96" i="41"/>
  <c r="V21" i="41"/>
  <c r="V66" i="41"/>
  <c r="V27" i="41"/>
  <c r="V72" i="41"/>
  <c r="V34" i="41"/>
  <c r="V14" i="41"/>
  <c r="V92" i="41"/>
  <c r="V88" i="41"/>
  <c r="V99" i="41"/>
  <c r="V98" i="41"/>
  <c r="V70" i="41"/>
  <c r="V113" i="41"/>
  <c r="V90" i="41"/>
  <c r="V36" i="41"/>
  <c r="V78" i="41"/>
  <c r="V111" i="41"/>
  <c r="V41" i="41"/>
  <c r="V47" i="41"/>
  <c r="V17" i="41"/>
  <c r="V31" i="41"/>
  <c r="AB31" i="41" s="1"/>
  <c r="V22" i="41"/>
  <c r="V102" i="41"/>
  <c r="V28" i="41"/>
  <c r="V108" i="41"/>
  <c r="V35" i="41"/>
  <c r="V49" i="41"/>
  <c r="V80" i="41"/>
  <c r="V76" i="41"/>
  <c r="V87" i="41"/>
  <c r="V86" i="41"/>
  <c r="V105" i="41"/>
  <c r="V40" i="41"/>
  <c r="V60" i="41"/>
  <c r="V25" i="41"/>
  <c r="V32" i="41"/>
  <c r="V110" i="41"/>
  <c r="V48" i="41"/>
  <c r="V55" i="41"/>
  <c r="V83" i="41"/>
  <c r="V53" i="41"/>
  <c r="V67" i="41"/>
  <c r="V23" i="41"/>
  <c r="V37" i="41"/>
  <c r="V29" i="41"/>
  <c r="V43" i="41"/>
  <c r="V71" i="41"/>
  <c r="V85" i="41"/>
  <c r="V68" i="41"/>
  <c r="V64" i="41"/>
  <c r="V75" i="41"/>
  <c r="V74" i="41"/>
  <c r="V93" i="41"/>
  <c r="V69" i="41"/>
  <c r="V62" i="41"/>
  <c r="V58" i="41"/>
  <c r="V57" i="41"/>
  <c r="V20" i="41"/>
  <c r="V50" i="41"/>
  <c r="V44" i="41"/>
  <c r="Y4" i="41" l="1"/>
  <c r="Y6" i="41" s="1"/>
  <c r="V4" i="41"/>
  <c r="W4" i="41"/>
  <c r="W6" i="41" s="1"/>
  <c r="V12" i="41"/>
  <c r="F23" i="47" s="1"/>
  <c r="AA12" i="41" l="1"/>
  <c r="F23" i="1" s="1"/>
  <c r="V5" i="41"/>
  <c r="V6" i="41" s="1"/>
  <c r="O14" i="48"/>
  <c r="Q14" i="48"/>
  <c r="AA13" i="41"/>
  <c r="O22" i="48" s="1"/>
  <c r="Q15" i="48" l="1"/>
  <c r="Q17" i="48" s="1"/>
  <c r="Q16" i="48"/>
  <c r="O16" i="48"/>
  <c r="O15" i="48"/>
  <c r="O17" i="48" s="1"/>
  <c r="G16" i="41"/>
  <c r="AB16" i="41" l="1"/>
  <c r="J16" i="41"/>
  <c r="G97" i="41"/>
  <c r="G40" i="41"/>
  <c r="G55" i="41"/>
  <c r="G91" i="41"/>
  <c r="G89" i="41"/>
  <c r="G80" i="41"/>
  <c r="G21" i="41"/>
  <c r="G74" i="41"/>
  <c r="G86" i="41"/>
  <c r="G75" i="41"/>
  <c r="G93" i="41"/>
  <c r="G87" i="41"/>
  <c r="G81" i="41"/>
  <c r="G101" i="41"/>
  <c r="G112" i="41"/>
  <c r="G98" i="41"/>
  <c r="G69" i="41"/>
  <c r="G60" i="41"/>
  <c r="G32" i="41"/>
  <c r="G72" i="41"/>
  <c r="G104" i="41"/>
  <c r="G65" i="41"/>
  <c r="G46" i="41"/>
  <c r="G61" i="41"/>
  <c r="G51" i="41"/>
  <c r="G42" i="41"/>
  <c r="G79" i="41"/>
  <c r="G35" i="41"/>
  <c r="G99" i="41"/>
  <c r="G28" i="41"/>
  <c r="G92" i="41"/>
  <c r="G96" i="41"/>
  <c r="G78" i="41"/>
  <c r="G20" i="41"/>
  <c r="G33" i="41"/>
  <c r="G39" i="41"/>
  <c r="G71" i="41"/>
  <c r="G37" i="41"/>
  <c r="G88" i="41"/>
  <c r="G108" i="41"/>
  <c r="G23" i="41"/>
  <c r="G94" i="41"/>
  <c r="G83" i="41"/>
  <c r="G24" i="41"/>
  <c r="G26" i="41"/>
  <c r="G82" i="41"/>
  <c r="G45" i="41"/>
  <c r="G15" i="41"/>
  <c r="G68" i="41"/>
  <c r="G43" i="41"/>
  <c r="G105" i="41"/>
  <c r="G73" i="41"/>
  <c r="G76" i="41"/>
  <c r="G106" i="41"/>
  <c r="G38" i="41"/>
  <c r="G62" i="41"/>
  <c r="G110" i="41"/>
  <c r="G109" i="41"/>
  <c r="G36" i="41"/>
  <c r="G53" i="41"/>
  <c r="G48" i="41"/>
  <c r="G47" i="41"/>
  <c r="G27" i="41"/>
  <c r="G95" i="41"/>
  <c r="G70" i="41"/>
  <c r="G57" i="41"/>
  <c r="G25" i="41"/>
  <c r="G44" i="41"/>
  <c r="G50" i="41"/>
  <c r="G100" i="41"/>
  <c r="G19" i="41"/>
  <c r="G30" i="41"/>
  <c r="G67" i="41"/>
  <c r="G107" i="41"/>
  <c r="G103" i="41"/>
  <c r="G56" i="41"/>
  <c r="G111" i="41"/>
  <c r="G66" i="41"/>
  <c r="G102" i="41"/>
  <c r="G113" i="41"/>
  <c r="G22" i="41"/>
  <c r="G17" i="41"/>
  <c r="G63" i="41"/>
  <c r="G49" i="41"/>
  <c r="G29" i="41"/>
  <c r="G52" i="41"/>
  <c r="G41" i="41"/>
  <c r="G59" i="41"/>
  <c r="G77" i="41"/>
  <c r="G84" i="41"/>
  <c r="G18" i="41"/>
  <c r="G54" i="41"/>
  <c r="G90" i="41"/>
  <c r="G34" i="41"/>
  <c r="G58" i="41"/>
  <c r="G64" i="41"/>
  <c r="G85" i="41"/>
  <c r="G12" i="41" l="1"/>
  <c r="AB65" i="41"/>
  <c r="J65" i="41"/>
  <c r="AB113" i="41"/>
  <c r="J113" i="41"/>
  <c r="K4" i="41"/>
  <c r="AB14" i="41"/>
  <c r="J14" i="41"/>
  <c r="AB110" i="41"/>
  <c r="J110" i="41"/>
  <c r="AB26" i="41"/>
  <c r="J26" i="41"/>
  <c r="AB78" i="41"/>
  <c r="J78" i="41"/>
  <c r="J104" i="41"/>
  <c r="AB104" i="41"/>
  <c r="AB86" i="41"/>
  <c r="J86" i="41"/>
  <c r="AB90" i="41"/>
  <c r="J90" i="41"/>
  <c r="J18" i="41"/>
  <c r="AB18" i="41"/>
  <c r="AB102" i="41"/>
  <c r="J102" i="41"/>
  <c r="AB44" i="41"/>
  <c r="J44" i="41"/>
  <c r="AB62" i="41"/>
  <c r="J62" i="41"/>
  <c r="AB24" i="41"/>
  <c r="J24" i="41"/>
  <c r="AB96" i="41"/>
  <c r="J96" i="41"/>
  <c r="AB72" i="41"/>
  <c r="J72" i="41"/>
  <c r="J74" i="41"/>
  <c r="AB74" i="41"/>
  <c r="AB109" i="41"/>
  <c r="J109" i="41"/>
  <c r="J83" i="41"/>
  <c r="AB83" i="41"/>
  <c r="J92" i="41"/>
  <c r="AB92" i="41"/>
  <c r="AB32" i="41"/>
  <c r="J32" i="41"/>
  <c r="J21" i="41"/>
  <c r="AB21" i="41"/>
  <c r="AB20" i="41"/>
  <c r="J20" i="41"/>
  <c r="AB77" i="41"/>
  <c r="J77" i="41"/>
  <c r="J111" i="41"/>
  <c r="AB111" i="41"/>
  <c r="J57" i="41"/>
  <c r="AB57" i="41"/>
  <c r="J106" i="41"/>
  <c r="AB106" i="41"/>
  <c r="AB94" i="41"/>
  <c r="J94" i="41"/>
  <c r="AB28" i="41"/>
  <c r="J28" i="41"/>
  <c r="AB60" i="41"/>
  <c r="J60" i="41"/>
  <c r="J80" i="41"/>
  <c r="AB80" i="41"/>
  <c r="AB54" i="41"/>
  <c r="J54" i="41"/>
  <c r="AB59" i="41"/>
  <c r="J59" i="41"/>
  <c r="J56" i="41"/>
  <c r="AB56" i="41"/>
  <c r="AB70" i="41"/>
  <c r="J70" i="41"/>
  <c r="AB76" i="41"/>
  <c r="J76" i="41"/>
  <c r="AB23" i="41"/>
  <c r="J23" i="41"/>
  <c r="AB99" i="41"/>
  <c r="J99" i="41"/>
  <c r="AB69" i="41"/>
  <c r="J69" i="41"/>
  <c r="AB89" i="41"/>
  <c r="J89" i="41"/>
  <c r="J22" i="41"/>
  <c r="AB22" i="41"/>
  <c r="AB38" i="41"/>
  <c r="J38" i="41"/>
  <c r="AB41" i="41"/>
  <c r="J41" i="41"/>
  <c r="AB103" i="41"/>
  <c r="J103" i="41"/>
  <c r="AB95" i="41"/>
  <c r="J95" i="41"/>
  <c r="J73" i="41"/>
  <c r="AB73" i="41"/>
  <c r="AB108" i="41"/>
  <c r="J108" i="41"/>
  <c r="AB35" i="41"/>
  <c r="J35" i="41"/>
  <c r="AB98" i="41"/>
  <c r="J98" i="41"/>
  <c r="AB91" i="41"/>
  <c r="J91" i="41"/>
  <c r="J84" i="41"/>
  <c r="AB84" i="41"/>
  <c r="AB52" i="41"/>
  <c r="J52" i="41"/>
  <c r="AB107" i="41"/>
  <c r="J107" i="41"/>
  <c r="J4" i="41"/>
  <c r="AB27" i="41"/>
  <c r="J27" i="41"/>
  <c r="J105" i="41"/>
  <c r="AB105" i="41"/>
  <c r="J88" i="41"/>
  <c r="AB88" i="41"/>
  <c r="J79" i="41"/>
  <c r="AB79" i="41"/>
  <c r="AB112" i="41"/>
  <c r="J112" i="41"/>
  <c r="AB55" i="41"/>
  <c r="J55" i="41"/>
  <c r="J50" i="41"/>
  <c r="AB50" i="41"/>
  <c r="AB25" i="41"/>
  <c r="J25" i="41"/>
  <c r="J29" i="41"/>
  <c r="AB29" i="41"/>
  <c r="J67" i="41"/>
  <c r="AB67" i="41"/>
  <c r="J47" i="41"/>
  <c r="AB47" i="41"/>
  <c r="AB43" i="41"/>
  <c r="J43" i="41"/>
  <c r="J37" i="41"/>
  <c r="AB37" i="41"/>
  <c r="J42" i="41"/>
  <c r="AB42" i="41"/>
  <c r="AB101" i="41"/>
  <c r="J101" i="41"/>
  <c r="AB40" i="41"/>
  <c r="J40" i="41"/>
  <c r="AB82" i="41"/>
  <c r="J82" i="41"/>
  <c r="J85" i="41"/>
  <c r="AB85" i="41"/>
  <c r="J49" i="41"/>
  <c r="AB49" i="41"/>
  <c r="J30" i="41"/>
  <c r="AB30" i="41"/>
  <c r="AB48" i="41"/>
  <c r="J48" i="41"/>
  <c r="AB68" i="41"/>
  <c r="J68" i="41"/>
  <c r="AB71" i="41"/>
  <c r="J71" i="41"/>
  <c r="AB51" i="41"/>
  <c r="J51" i="41"/>
  <c r="AB81" i="41"/>
  <c r="J81" i="41"/>
  <c r="J97" i="41"/>
  <c r="AB97" i="41"/>
  <c r="AB66" i="41"/>
  <c r="J66" i="41"/>
  <c r="J58" i="41"/>
  <c r="AB58" i="41"/>
  <c r="AB63" i="41"/>
  <c r="J63" i="41"/>
  <c r="AB19" i="41"/>
  <c r="J19" i="41"/>
  <c r="AB53" i="41"/>
  <c r="J53" i="41"/>
  <c r="J15" i="41"/>
  <c r="G4" i="41"/>
  <c r="AB15" i="41"/>
  <c r="J39" i="41"/>
  <c r="AB39" i="41"/>
  <c r="AB61" i="41"/>
  <c r="J61" i="41"/>
  <c r="J87" i="41"/>
  <c r="AB87" i="41"/>
  <c r="AC16" i="41"/>
  <c r="F25" i="48"/>
  <c r="H25" i="48" s="1"/>
  <c r="AB75" i="41"/>
  <c r="J75" i="41"/>
  <c r="J64" i="41"/>
  <c r="AB64" i="41"/>
  <c r="J34" i="41"/>
  <c r="AB34" i="41"/>
  <c r="AB17" i="41"/>
  <c r="J17" i="41"/>
  <c r="AB100" i="41"/>
  <c r="J100" i="41"/>
  <c r="J36" i="41"/>
  <c r="AB36" i="41"/>
  <c r="AB45" i="41"/>
  <c r="J45" i="41"/>
  <c r="AB33" i="41"/>
  <c r="J33" i="41"/>
  <c r="J46" i="41"/>
  <c r="AB46" i="41"/>
  <c r="AB93" i="41"/>
  <c r="J93" i="41"/>
  <c r="D4" i="41" l="1"/>
  <c r="D5" i="41" s="1"/>
  <c r="G14" i="48"/>
  <c r="G15" i="48" s="1"/>
  <c r="E16" i="49"/>
  <c r="F60" i="48"/>
  <c r="H60" i="48" s="1"/>
  <c r="E51" i="49" s="1"/>
  <c r="AC51" i="41"/>
  <c r="F80" i="48"/>
  <c r="H80" i="48" s="1"/>
  <c r="E71" i="49" s="1"/>
  <c r="AC71" i="41"/>
  <c r="F91" i="48"/>
  <c r="H91" i="48" s="1"/>
  <c r="E82" i="49" s="1"/>
  <c r="AC82" i="41"/>
  <c r="F121" i="48"/>
  <c r="H121" i="48" s="1"/>
  <c r="E112" i="49" s="1"/>
  <c r="AC112" i="41"/>
  <c r="AC22" i="41"/>
  <c r="F31" i="48"/>
  <c r="H31" i="48" s="1"/>
  <c r="E22" i="49" s="1"/>
  <c r="F83" i="48"/>
  <c r="H83" i="48" s="1"/>
  <c r="E74" i="49" s="1"/>
  <c r="AC74" i="41"/>
  <c r="F52" i="48"/>
  <c r="H52" i="48" s="1"/>
  <c r="E43" i="49" s="1"/>
  <c r="AC43" i="41"/>
  <c r="AC108" i="41"/>
  <c r="F117" i="48"/>
  <c r="H117" i="48" s="1"/>
  <c r="E108" i="49" s="1"/>
  <c r="AC70" i="41"/>
  <c r="F79" i="48"/>
  <c r="H79" i="48" s="1"/>
  <c r="E70" i="49" s="1"/>
  <c r="AC17" i="41"/>
  <c r="F26" i="48"/>
  <c r="H26" i="48" s="1"/>
  <c r="E17" i="49" s="1"/>
  <c r="F70" i="48"/>
  <c r="H70" i="48" s="1"/>
  <c r="E61" i="49" s="1"/>
  <c r="AC61" i="41"/>
  <c r="AC47" i="41"/>
  <c r="F56" i="48"/>
  <c r="H56" i="48" s="1"/>
  <c r="E47" i="49" s="1"/>
  <c r="F61" i="48"/>
  <c r="H61" i="48" s="1"/>
  <c r="E52" i="49" s="1"/>
  <c r="AC52" i="41"/>
  <c r="F98" i="48"/>
  <c r="H98" i="48" s="1"/>
  <c r="E89" i="49" s="1"/>
  <c r="AC89" i="41"/>
  <c r="AC94" i="41"/>
  <c r="F103" i="48"/>
  <c r="H103" i="48" s="1"/>
  <c r="E94" i="49" s="1"/>
  <c r="F81" i="48"/>
  <c r="H81" i="48" s="1"/>
  <c r="E72" i="49" s="1"/>
  <c r="AC72" i="41"/>
  <c r="AC110" i="41"/>
  <c r="F119" i="48"/>
  <c r="H119" i="48" s="1"/>
  <c r="E110" i="49" s="1"/>
  <c r="F37" i="48"/>
  <c r="H37" i="48" s="1"/>
  <c r="E28" i="49" s="1"/>
  <c r="AC28" i="41"/>
  <c r="AC40" i="41"/>
  <c r="F49" i="48"/>
  <c r="H49" i="48" s="1"/>
  <c r="E40" i="49" s="1"/>
  <c r="F82" i="48"/>
  <c r="H82" i="48" s="1"/>
  <c r="E73" i="49" s="1"/>
  <c r="AC73" i="41"/>
  <c r="AC56" i="41"/>
  <c r="F65" i="48"/>
  <c r="H65" i="48" s="1"/>
  <c r="E56" i="49" s="1"/>
  <c r="F30" i="48"/>
  <c r="H30" i="48" s="1"/>
  <c r="E21" i="49" s="1"/>
  <c r="AC21" i="41"/>
  <c r="AC18" i="41"/>
  <c r="F27" i="48"/>
  <c r="H27" i="48" s="1"/>
  <c r="E18" i="49" s="1"/>
  <c r="AC36" i="41"/>
  <c r="F45" i="48"/>
  <c r="H45" i="48" s="1"/>
  <c r="E36" i="49" s="1"/>
  <c r="AC102" i="41"/>
  <c r="F111" i="48"/>
  <c r="H111" i="48" s="1"/>
  <c r="E102" i="49" s="1"/>
  <c r="F77" i="48"/>
  <c r="H77" i="48" s="1"/>
  <c r="E68" i="49" s="1"/>
  <c r="AC68" i="41"/>
  <c r="F67" i="48"/>
  <c r="H67" i="48" s="1"/>
  <c r="E58" i="49" s="1"/>
  <c r="AC58" i="41"/>
  <c r="AC67" i="41"/>
  <c r="F76" i="48"/>
  <c r="H76" i="48" s="1"/>
  <c r="E67" i="49" s="1"/>
  <c r="F88" i="48"/>
  <c r="H88" i="48" s="1"/>
  <c r="E79" i="49" s="1"/>
  <c r="AC79" i="41"/>
  <c r="AC95" i="41"/>
  <c r="F104" i="48"/>
  <c r="H104" i="48" s="1"/>
  <c r="E95" i="49" s="1"/>
  <c r="AC69" i="41"/>
  <c r="F78" i="48"/>
  <c r="H78" i="48" s="1"/>
  <c r="E69" i="49" s="1"/>
  <c r="AC59" i="41"/>
  <c r="F68" i="48"/>
  <c r="H68" i="48" s="1"/>
  <c r="E59" i="49" s="1"/>
  <c r="F41" i="48"/>
  <c r="H41" i="48" s="1"/>
  <c r="E32" i="49" s="1"/>
  <c r="F105" i="48"/>
  <c r="H105" i="48" s="1"/>
  <c r="E96" i="49" s="1"/>
  <c r="AC96" i="41"/>
  <c r="AC90" i="41"/>
  <c r="F99" i="48"/>
  <c r="H99" i="48" s="1"/>
  <c r="E90" i="49" s="1"/>
  <c r="F23" i="48"/>
  <c r="AC14" i="41"/>
  <c r="J12" i="41"/>
  <c r="K13" i="41" s="1"/>
  <c r="G22" i="48" s="1"/>
  <c r="K5" i="41"/>
  <c r="K6" i="41" s="1"/>
  <c r="AC19" i="41"/>
  <c r="F28" i="48"/>
  <c r="H28" i="48" s="1"/>
  <c r="E19" i="49" s="1"/>
  <c r="AC63" i="41"/>
  <c r="F72" i="48"/>
  <c r="H72" i="48" s="1"/>
  <c r="E63" i="49" s="1"/>
  <c r="F55" i="48"/>
  <c r="H55" i="48" s="1"/>
  <c r="E46" i="49" s="1"/>
  <c r="AC46" i="41"/>
  <c r="F43" i="48"/>
  <c r="H43" i="48" s="1"/>
  <c r="E34" i="49" s="1"/>
  <c r="AC34" i="41"/>
  <c r="F48" i="48"/>
  <c r="H48" i="48" s="1"/>
  <c r="E39" i="49" s="1"/>
  <c r="AC39" i="41"/>
  <c r="AC66" i="41"/>
  <c r="F75" i="48"/>
  <c r="H75" i="48" s="1"/>
  <c r="E66" i="49" s="1"/>
  <c r="AC48" i="41"/>
  <c r="F57" i="48"/>
  <c r="H57" i="48" s="1"/>
  <c r="E48" i="49" s="1"/>
  <c r="F110" i="48"/>
  <c r="H110" i="48" s="1"/>
  <c r="E101" i="49" s="1"/>
  <c r="AC101" i="41"/>
  <c r="AC84" i="41"/>
  <c r="F93" i="48"/>
  <c r="H93" i="48" s="1"/>
  <c r="E84" i="49" s="1"/>
  <c r="F115" i="48"/>
  <c r="H115" i="48" s="1"/>
  <c r="E106" i="49" s="1"/>
  <c r="AC106" i="41"/>
  <c r="AB12" i="41"/>
  <c r="AC4" i="41"/>
  <c r="AC55" i="41"/>
  <c r="F64" i="48"/>
  <c r="H64" i="48" s="1"/>
  <c r="E55" i="49" s="1"/>
  <c r="AC85" i="41"/>
  <c r="F94" i="48"/>
  <c r="H94" i="48" s="1"/>
  <c r="E85" i="49" s="1"/>
  <c r="AC20" i="41"/>
  <c r="F29" i="48"/>
  <c r="H29" i="48" s="1"/>
  <c r="E20" i="49" s="1"/>
  <c r="AC87" i="41"/>
  <c r="F96" i="48"/>
  <c r="H96" i="48" s="1"/>
  <c r="E87" i="49" s="1"/>
  <c r="AC93" i="41"/>
  <c r="F102" i="48"/>
  <c r="H102" i="48" s="1"/>
  <c r="E93" i="49" s="1"/>
  <c r="F42" i="48"/>
  <c r="H42" i="48" s="1"/>
  <c r="E33" i="49" s="1"/>
  <c r="AC33" i="41"/>
  <c r="C4" i="41"/>
  <c r="C5" i="41" s="1"/>
  <c r="AA4" i="41"/>
  <c r="E4" i="41"/>
  <c r="E5" i="41" s="1"/>
  <c r="F38" i="48"/>
  <c r="H38" i="48" s="1"/>
  <c r="E29" i="49" s="1"/>
  <c r="AC29" i="41"/>
  <c r="AC88" i="41"/>
  <c r="F97" i="48"/>
  <c r="H97" i="48" s="1"/>
  <c r="E88" i="49" s="1"/>
  <c r="F100" i="48"/>
  <c r="H100" i="48" s="1"/>
  <c r="E91" i="49" s="1"/>
  <c r="AC91" i="41"/>
  <c r="AC103" i="41"/>
  <c r="F112" i="48"/>
  <c r="H112" i="48" s="1"/>
  <c r="E103" i="49" s="1"/>
  <c r="F108" i="48"/>
  <c r="H108" i="48" s="1"/>
  <c r="E99" i="49" s="1"/>
  <c r="AC99" i="41"/>
  <c r="AC54" i="41"/>
  <c r="F63" i="48"/>
  <c r="H63" i="48" s="1"/>
  <c r="E54" i="49" s="1"/>
  <c r="AC24" i="41"/>
  <c r="F33" i="48"/>
  <c r="H33" i="48" s="1"/>
  <c r="E24" i="49" s="1"/>
  <c r="AC86" i="41"/>
  <c r="F95" i="48"/>
  <c r="H95" i="48" s="1"/>
  <c r="E86" i="49" s="1"/>
  <c r="H8" i="41"/>
  <c r="X8" i="41" s="1"/>
  <c r="F22" i="47"/>
  <c r="F20" i="47" s="1"/>
  <c r="F24" i="47" s="1"/>
  <c r="F109" i="48"/>
  <c r="H109" i="48" s="1"/>
  <c r="E100" i="49" s="1"/>
  <c r="AC100" i="41"/>
  <c r="AC107" i="41"/>
  <c r="F116" i="48"/>
  <c r="H116" i="48" s="1"/>
  <c r="E107" i="49" s="1"/>
  <c r="F66" i="48"/>
  <c r="H66" i="48" s="1"/>
  <c r="E57" i="49" s="1"/>
  <c r="AC57" i="41"/>
  <c r="F101" i="48"/>
  <c r="H101" i="48" s="1"/>
  <c r="E92" i="49" s="1"/>
  <c r="AC92" i="41"/>
  <c r="H14" i="48"/>
  <c r="AC15" i="41"/>
  <c r="F24" i="48"/>
  <c r="H24" i="48" s="1"/>
  <c r="F14" i="48"/>
  <c r="AC30" i="41"/>
  <c r="F39" i="48"/>
  <c r="H39" i="48" s="1"/>
  <c r="E30" i="49" s="1"/>
  <c r="F51" i="48"/>
  <c r="H51" i="48" s="1"/>
  <c r="E42" i="49" s="1"/>
  <c r="AC42" i="41"/>
  <c r="F114" i="48"/>
  <c r="H114" i="48" s="1"/>
  <c r="E105" i="49" s="1"/>
  <c r="AC105" i="41"/>
  <c r="F107" i="48"/>
  <c r="H107" i="48" s="1"/>
  <c r="E98" i="49" s="1"/>
  <c r="AC98" i="41"/>
  <c r="F50" i="48"/>
  <c r="H50" i="48" s="1"/>
  <c r="E41" i="49" s="1"/>
  <c r="AC41" i="41"/>
  <c r="AC23" i="41"/>
  <c r="F32" i="48"/>
  <c r="H32" i="48" s="1"/>
  <c r="E23" i="49" s="1"/>
  <c r="AC62" i="41"/>
  <c r="F71" i="48"/>
  <c r="H71" i="48" s="1"/>
  <c r="E62" i="49" s="1"/>
  <c r="F122" i="48"/>
  <c r="H122" i="48" s="1"/>
  <c r="E113" i="49" s="1"/>
  <c r="AC113" i="41"/>
  <c r="F34" i="48"/>
  <c r="H34" i="48" s="1"/>
  <c r="E25" i="49" s="1"/>
  <c r="AC25" i="41"/>
  <c r="AC80" i="41"/>
  <c r="F89" i="48"/>
  <c r="H89" i="48" s="1"/>
  <c r="E80" i="49" s="1"/>
  <c r="AC111" i="41"/>
  <c r="F120" i="48"/>
  <c r="H120" i="48" s="1"/>
  <c r="E111" i="49" s="1"/>
  <c r="AC83" i="41"/>
  <c r="F92" i="48"/>
  <c r="H92" i="48" s="1"/>
  <c r="E83" i="49" s="1"/>
  <c r="F113" i="48"/>
  <c r="H113" i="48" s="1"/>
  <c r="E104" i="49" s="1"/>
  <c r="AC104" i="41"/>
  <c r="AC26" i="41"/>
  <c r="F35" i="48"/>
  <c r="H35" i="48" s="1"/>
  <c r="E26" i="49" s="1"/>
  <c r="F73" i="48"/>
  <c r="H73" i="48" s="1"/>
  <c r="E64" i="49" s="1"/>
  <c r="AC64" i="41"/>
  <c r="F54" i="48"/>
  <c r="H54" i="48" s="1"/>
  <c r="E45" i="49" s="1"/>
  <c r="AC45" i="41"/>
  <c r="AC75" i="41"/>
  <c r="F84" i="48"/>
  <c r="H84" i="48" s="1"/>
  <c r="E75" i="49" s="1"/>
  <c r="AC97" i="41"/>
  <c r="F106" i="48"/>
  <c r="H106" i="48" s="1"/>
  <c r="E97" i="49" s="1"/>
  <c r="AC53" i="41"/>
  <c r="F62" i="48"/>
  <c r="H62" i="48" s="1"/>
  <c r="E53" i="49" s="1"/>
  <c r="AC81" i="41"/>
  <c r="F90" i="48"/>
  <c r="H90" i="48" s="1"/>
  <c r="E81" i="49" s="1"/>
  <c r="J5" i="41"/>
  <c r="J6" i="41" s="1"/>
  <c r="F36" i="48"/>
  <c r="H36" i="48" s="1"/>
  <c r="E27" i="49" s="1"/>
  <c r="AC27" i="41"/>
  <c r="AC49" i="41"/>
  <c r="F58" i="48"/>
  <c r="H58" i="48" s="1"/>
  <c r="E49" i="49" s="1"/>
  <c r="AC37" i="41"/>
  <c r="F46" i="48"/>
  <c r="H46" i="48" s="1"/>
  <c r="E37" i="49" s="1"/>
  <c r="AC50" i="41"/>
  <c r="F59" i="48"/>
  <c r="H59" i="48" s="1"/>
  <c r="E50" i="49" s="1"/>
  <c r="AB4" i="41"/>
  <c r="F44" i="48"/>
  <c r="H44" i="48" s="1"/>
  <c r="E35" i="49" s="1"/>
  <c r="AC35" i="41"/>
  <c r="F47" i="48"/>
  <c r="H47" i="48" s="1"/>
  <c r="E38" i="49" s="1"/>
  <c r="AC38" i="41"/>
  <c r="AC76" i="41"/>
  <c r="F85" i="48"/>
  <c r="H85" i="48" s="1"/>
  <c r="E76" i="49" s="1"/>
  <c r="F69" i="48"/>
  <c r="H69" i="48" s="1"/>
  <c r="E60" i="49" s="1"/>
  <c r="AC60" i="41"/>
  <c r="AC77" i="41"/>
  <c r="F86" i="48"/>
  <c r="H86" i="48" s="1"/>
  <c r="E77" i="49" s="1"/>
  <c r="AC109" i="41"/>
  <c r="F118" i="48"/>
  <c r="H118" i="48" s="1"/>
  <c r="E109" i="49" s="1"/>
  <c r="AC44" i="41"/>
  <c r="F53" i="48"/>
  <c r="H53" i="48" s="1"/>
  <c r="E44" i="49" s="1"/>
  <c r="AC78" i="41"/>
  <c r="F87" i="48"/>
  <c r="H87" i="48" s="1"/>
  <c r="E78" i="49" s="1"/>
  <c r="F74" i="48"/>
  <c r="H74" i="48" s="1"/>
  <c r="E65" i="49" s="1"/>
  <c r="AC65" i="41"/>
  <c r="D6" i="41" l="1"/>
  <c r="D7" i="41" s="1"/>
  <c r="G12" i="48"/>
  <c r="Z4" i="41"/>
  <c r="F15" i="48"/>
  <c r="F19" i="47"/>
  <c r="F32" i="47" s="1"/>
  <c r="G32" i="47" s="1"/>
  <c r="H23" i="48"/>
  <c r="F12" i="48" s="1"/>
  <c r="F13" i="48" s="1"/>
  <c r="F21" i="48"/>
  <c r="H12" i="48"/>
  <c r="H13" i="48" s="1"/>
  <c r="E15" i="49"/>
  <c r="H15" i="48"/>
  <c r="G5" i="41"/>
  <c r="G6" i="41" s="1"/>
  <c r="K12" i="41"/>
  <c r="AB5" i="41"/>
  <c r="AB6" i="41" s="1"/>
  <c r="AC5" i="41"/>
  <c r="AC6" i="41" s="1"/>
  <c r="G13" i="48" l="1"/>
  <c r="G17" i="48" s="1"/>
  <c r="G16" i="48"/>
  <c r="H16" i="48"/>
  <c r="H17" i="48"/>
  <c r="H21" i="48"/>
  <c r="E14" i="49"/>
  <c r="E13" i="49" s="1"/>
  <c r="I14" i="48"/>
  <c r="L5" i="41"/>
  <c r="L6" i="41" s="1"/>
  <c r="P12" i="41"/>
  <c r="K14" i="48"/>
  <c r="F17" i="48"/>
  <c r="F16" i="48"/>
  <c r="N14" i="48" l="1"/>
  <c r="Q5" i="41"/>
  <c r="Q6" i="41" s="1"/>
  <c r="U12" i="41"/>
  <c r="F22" i="1" s="1"/>
  <c r="F20" i="1" s="1"/>
  <c r="F24" i="1" s="1"/>
  <c r="L14" i="48"/>
  <c r="AC32" i="41"/>
  <c r="E6" i="41" s="1"/>
  <c r="K15" i="48"/>
  <c r="K17" i="48" s="1"/>
  <c r="K16" i="48"/>
  <c r="I15" i="48"/>
  <c r="I17" i="48" s="1"/>
  <c r="I16" i="48"/>
  <c r="F19" i="1" l="1"/>
  <c r="F32" i="1" s="1"/>
  <c r="G32" i="1" s="1"/>
  <c r="E7" i="41"/>
  <c r="AA5" i="41"/>
  <c r="AC12" i="41"/>
  <c r="C6" i="41"/>
  <c r="C7" i="41" s="1"/>
  <c r="L15" i="48"/>
  <c r="L17" i="48" s="1"/>
  <c r="L16" i="48"/>
  <c r="N15" i="48"/>
  <c r="N17" i="48" s="1"/>
  <c r="N16" i="48"/>
  <c r="AA6" i="41" l="1"/>
  <c r="Z5" i="41"/>
  <c r="Z6" i="41" s="1"/>
</calcChain>
</file>

<file path=xl/comments1.xml><?xml version="1.0" encoding="utf-8"?>
<comments xmlns="http://schemas.openxmlformats.org/spreadsheetml/2006/main">
  <authors>
    <author>Автор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  <comment ref="A37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17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  <comment ref="A170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  <comment ref="A463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  <comment ref="A713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этой, копировать всю строку с формулами.
Вставка строк производится только перед серой строкой, в случае добавления строк в середине 
формулы могут не проставиться.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66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Для увеличения кол-ва строк добавлять строки выше этой ячейки, копировать целиком строку выше (с формулами)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123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(с формулами)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(с формулами)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11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(с формулами)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176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(с формулами)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увеличения кол-ва строк добавлять строки выше (с формулами)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11"/>
            <color indexed="81"/>
            <rFont val="Tahoma"/>
            <family val="2"/>
            <charset val="204"/>
          </rPr>
          <t>НЕ УДАЛЯТЬ ИСПОЛЬЗУЕТСЯ В ФОРМУЛАХ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<sst xmlns="http://schemas.openxmlformats.org/spreadsheetml/2006/main" count="4373" uniqueCount="922">
  <si>
    <t>№ п/п</t>
  </si>
  <si>
    <t>Наименование статей расходов</t>
  </si>
  <si>
    <t>ФИО</t>
  </si>
  <si>
    <t>Итого</t>
  </si>
  <si>
    <t>3.</t>
  </si>
  <si>
    <t>КВР</t>
  </si>
  <si>
    <t>КОСГУ</t>
  </si>
  <si>
    <t>Роль</t>
  </si>
  <si>
    <t>Оплата труда сотрудников Финансового университета, выполняющих НИР</t>
  </si>
  <si>
    <t>Способ оплаты труда</t>
  </si>
  <si>
    <t>Способ оплаты</t>
  </si>
  <si>
    <t>№ СПП элемента</t>
  </si>
  <si>
    <t>5.</t>
  </si>
  <si>
    <t>Затраты на оплату труда и оказание работ/услуг исполнителей НИР</t>
  </si>
  <si>
    <t>Статья затрат</t>
  </si>
  <si>
    <t>№ статьи затрат</t>
  </si>
  <si>
    <t>По ФИО</t>
  </si>
  <si>
    <t>Ввод данных</t>
  </si>
  <si>
    <t>Роли</t>
  </si>
  <si>
    <t>Итого расходы</t>
  </si>
  <si>
    <t>УТВЕРЖДАЮ</t>
  </si>
  <si>
    <t>Фамилия и инициалы исполнителя</t>
  </si>
  <si>
    <t>Роспись за полученное задание</t>
  </si>
  <si>
    <t>Подписи руководителя и исполнителей, дата</t>
  </si>
  <si>
    <t>«___» __________ 20___ г.</t>
  </si>
  <si>
    <t>Фактическое выполнение</t>
  </si>
  <si>
    <t>Единица планирования</t>
  </si>
  <si>
    <t>В днях</t>
  </si>
  <si>
    <t>Дней</t>
  </si>
  <si>
    <t>В часах</t>
  </si>
  <si>
    <t>Часов</t>
  </si>
  <si>
    <t>день</t>
  </si>
  <si>
    <t>час</t>
  </si>
  <si>
    <t>Стоимость трудозатрат, руб</t>
  </si>
  <si>
    <t>ЗП</t>
  </si>
  <si>
    <t>Категория</t>
  </si>
  <si>
    <t>Страховые взносы по обязательному социальному страхованию в государственные внебюджетные фонды на ФОТ сотрудников, выполняющих НИР</t>
  </si>
  <si>
    <t>Основное место работы</t>
  </si>
  <si>
    <t>Участие в НИР</t>
  </si>
  <si>
    <t>Наименование подразделения</t>
  </si>
  <si>
    <t>Наименование должности</t>
  </si>
  <si>
    <t>Размер занимаемой ставки</t>
  </si>
  <si>
    <t>Средняя ЗП по региону на 2023 год (прогноз)</t>
  </si>
  <si>
    <t>Коэффициент к средней ЗП</t>
  </si>
  <si>
    <t>Соотношение НПР/НТР</t>
  </si>
  <si>
    <t>Средняя ЗП в соответствии с коэффициентом</t>
  </si>
  <si>
    <t>Расчетная величина</t>
  </si>
  <si>
    <t xml:space="preserve">Соотношение ФОТ </t>
  </si>
  <si>
    <t>ЦФ</t>
  </si>
  <si>
    <t>НИСП</t>
  </si>
  <si>
    <t>Всего % накладных расходов</t>
  </si>
  <si>
    <t>НПР</t>
  </si>
  <si>
    <t>НТР</t>
  </si>
  <si>
    <t>Иные исследователи</t>
  </si>
  <si>
    <t>ППС</t>
  </si>
  <si>
    <t>НР</t>
  </si>
  <si>
    <t>АУП</t>
  </si>
  <si>
    <t>Стоимость темы</t>
  </si>
  <si>
    <t>Доцент</t>
  </si>
  <si>
    <t>в том числе:</t>
  </si>
  <si>
    <t>Количество ставок, Всего</t>
  </si>
  <si>
    <t>из них:</t>
  </si>
  <si>
    <t>НТР (%)</t>
  </si>
  <si>
    <t>Иные исследователи (%)</t>
  </si>
  <si>
    <t>Всего</t>
  </si>
  <si>
    <t>Накладные расходы (в руб.)</t>
  </si>
  <si>
    <t>контроль</t>
  </si>
  <si>
    <t>Профессор</t>
  </si>
  <si>
    <t>Преподаватель</t>
  </si>
  <si>
    <t>Иные</t>
  </si>
  <si>
    <t>Старший преподаватель</t>
  </si>
  <si>
    <t>Студент</t>
  </si>
  <si>
    <t>Страховые взносы</t>
  </si>
  <si>
    <t>НС</t>
  </si>
  <si>
    <t>ассистент</t>
  </si>
  <si>
    <t>всего</t>
  </si>
  <si>
    <t>Должность</t>
  </si>
  <si>
    <t>в месяц</t>
  </si>
  <si>
    <t>Группа категорий</t>
  </si>
  <si>
    <t>Расчет плановых выплат стимулирующего характера</t>
  </si>
  <si>
    <t>Обязательные выплаты (оклады)</t>
  </si>
  <si>
    <t>Расчет плановых годовых выплат
от макры установленной по должностям (220-100%) и размера занимаемой ставки как участник НИР</t>
  </si>
  <si>
    <t>ставки</t>
  </si>
  <si>
    <t>%</t>
  </si>
  <si>
    <t>Наименование темы</t>
  </si>
  <si>
    <t>Участники НИР (группа)</t>
  </si>
  <si>
    <t>Прямые расходы</t>
  </si>
  <si>
    <t>страховые взносы</t>
  </si>
  <si>
    <t>Наименование должности по основному месту</t>
  </si>
  <si>
    <t>Для распределения</t>
  </si>
  <si>
    <t>Оклад, руб.
в месяц</t>
  </si>
  <si>
    <t xml:space="preserve">Всего </t>
  </si>
  <si>
    <t>Участники НИР</t>
  </si>
  <si>
    <t>Ассистент</t>
  </si>
  <si>
    <t>Главный научный сотрудник</t>
  </si>
  <si>
    <t>Ведущий научный сотрудник</t>
  </si>
  <si>
    <t>Старший научный сотрудник</t>
  </si>
  <si>
    <t>Научный сотрудник</t>
  </si>
  <si>
    <t>Младший научный сотрудник</t>
  </si>
  <si>
    <t>Научный руководитель</t>
  </si>
  <si>
    <t>Главный специалист</t>
  </si>
  <si>
    <t>Главный консультант</t>
  </si>
  <si>
    <t>Ведущий специалист</t>
  </si>
  <si>
    <t>Ведущий консультант</t>
  </si>
  <si>
    <t>Специалист</t>
  </si>
  <si>
    <t>Консультант</t>
  </si>
  <si>
    <t>Советник</t>
  </si>
  <si>
    <t>Стажер-исследователь</t>
  </si>
  <si>
    <t>Лаборант-исследователь</t>
  </si>
  <si>
    <t>при 24-часовой неделе</t>
  </si>
  <si>
    <t>при 36-часовой неделе</t>
  </si>
  <si>
    <t>при 40-часовой неделе</t>
  </si>
  <si>
    <t>Соотношение</t>
  </si>
  <si>
    <t>Оклад, руб.
в час</t>
  </si>
  <si>
    <t>Период работы
(в часах)</t>
  </si>
  <si>
    <t>в часах</t>
  </si>
  <si>
    <t>Ставка</t>
  </si>
  <si>
    <t>Группа категории</t>
  </si>
  <si>
    <t>Сумма,
в руб.</t>
  </si>
  <si>
    <t>Трудозатраты,
в часах</t>
  </si>
  <si>
    <t>Итого:</t>
  </si>
  <si>
    <t>страховые взносы:</t>
  </si>
  <si>
    <t>Ставки</t>
  </si>
  <si>
    <t>ЛИМИТЫ</t>
  </si>
  <si>
    <t>соотношение с учетом коэфф. по должностям</t>
  </si>
  <si>
    <t>Выходные дни в 2024 г.</t>
  </si>
  <si>
    <t>Рабочее время за 2024 год (в часах)</t>
  </si>
  <si>
    <t>Общий размер ставок занимаемых в Финуниверситете</t>
  </si>
  <si>
    <t>Аспирант</t>
  </si>
  <si>
    <t>Соотношение НПР/НТР в случае если отсутствует категория "иные"</t>
  </si>
  <si>
    <t>Повышающий коэффициент</t>
  </si>
  <si>
    <t>1.</t>
  </si>
  <si>
    <t>1.1.</t>
  </si>
  <si>
    <t>1.2.</t>
  </si>
  <si>
    <t>2.</t>
  </si>
  <si>
    <t>4.</t>
  </si>
  <si>
    <t>ИТОГО</t>
  </si>
  <si>
    <t>2.1.</t>
  </si>
  <si>
    <t>Расходы на приобретение оборудования, непосредственно связанные с выполнением НИР</t>
  </si>
  <si>
    <t>Наименование закупки</t>
  </si>
  <si>
    <t>Ед. изм.</t>
  </si>
  <si>
    <t>Кол-во</t>
  </si>
  <si>
    <t>Цена за ед., руб.</t>
  </si>
  <si>
    <t>Общая цена, руб.</t>
  </si>
  <si>
    <t>Итого по статье затрат</t>
  </si>
  <si>
    <t>Расходы на приобретение материальных запасов</t>
  </si>
  <si>
    <t>Расходы на приобретение оборудования</t>
  </si>
  <si>
    <t xml:space="preserve"> </t>
  </si>
  <si>
    <t>Пример заполнения:</t>
  </si>
  <si>
    <t>Бумага</t>
  </si>
  <si>
    <t>упак.</t>
  </si>
  <si>
    <t>флешка</t>
  </si>
  <si>
    <t>шт.</t>
  </si>
  <si>
    <t>Презентационные материалы</t>
  </si>
  <si>
    <t>Командировочные расходы</t>
  </si>
  <si>
    <t>N п/п</t>
  </si>
  <si>
    <t>описание расхода</t>
  </si>
  <si>
    <t>Период
с … по…</t>
  </si>
  <si>
    <t>Единица измерения</t>
  </si>
  <si>
    <t>Кол-во человек</t>
  </si>
  <si>
    <t>Кол-во
дней</t>
  </si>
  <si>
    <t>Единичная стоимость</t>
  </si>
  <si>
    <t>Общая сумма, в руб.</t>
  </si>
  <si>
    <t>4.1.</t>
  </si>
  <si>
    <t>билет</t>
  </si>
  <si>
    <t>Проживание</t>
  </si>
  <si>
    <t>дни</t>
  </si>
  <si>
    <t>Суточные</t>
  </si>
  <si>
    <t>человеко-сутки</t>
  </si>
  <si>
    <t>Проезд авиа Москва-Сочи-Москва</t>
  </si>
  <si>
    <t>с 10 октября по 15 октября</t>
  </si>
  <si>
    <t>Проезд ЖД Москва-СПб-Москва</t>
  </si>
  <si>
    <t>с 1 февраля по 2 феврвля</t>
  </si>
  <si>
    <t>Прочие расходы</t>
  </si>
  <si>
    <t>Описание</t>
  </si>
  <si>
    <t>Ед. измерения</t>
  </si>
  <si>
    <t>Стоимость за единицу, руб.</t>
  </si>
  <si>
    <t>Сумма, руб.</t>
  </si>
  <si>
    <t>4.2.</t>
  </si>
  <si>
    <t>полиграфические услуги</t>
  </si>
  <si>
    <t>Расходы на приобретение материалов и оборудования</t>
  </si>
  <si>
    <t>Приобретение материальных запасов</t>
  </si>
  <si>
    <t>Приобретение оборудования</t>
  </si>
  <si>
    <t>Прочие расходы, непосредственно связанные с выполнением НИР, всего</t>
  </si>
  <si>
    <t>222, 226, 212</t>
  </si>
  <si>
    <t>2.1.2.</t>
  </si>
  <si>
    <t>2.1.1.</t>
  </si>
  <si>
    <t>2.1.3.</t>
  </si>
  <si>
    <t>2.2.</t>
  </si>
  <si>
    <t>3.1.</t>
  </si>
  <si>
    <t>3.2.</t>
  </si>
  <si>
    <t>Руководитель НИСП</t>
  </si>
  <si>
    <t>Фонд оплаты труда</t>
  </si>
  <si>
    <t>Прямые расходы всего:</t>
  </si>
  <si>
    <t>Расходы на закупку и командировочные расходы</t>
  </si>
  <si>
    <t>Всего, без страховых взносов</t>
  </si>
  <si>
    <t>Старший_преподаватель</t>
  </si>
  <si>
    <t>Главный_научный_сотрудник</t>
  </si>
  <si>
    <t>Ведущий_научный_сотрудник</t>
  </si>
  <si>
    <t>Старший_научный_сотрудник</t>
  </si>
  <si>
    <t>Научный_сотрудник</t>
  </si>
  <si>
    <t>Младший_научный_сотрудник</t>
  </si>
  <si>
    <t>Внешний_эксперт</t>
  </si>
  <si>
    <t>Научный_руководитель</t>
  </si>
  <si>
    <t>Главный_специалист</t>
  </si>
  <si>
    <t>Главный_консультант</t>
  </si>
  <si>
    <t>Ведущий_специалист</t>
  </si>
  <si>
    <t>Ведущий_консультант</t>
  </si>
  <si>
    <t>Иные_категории</t>
  </si>
  <si>
    <t>Трудозатраты</t>
  </si>
  <si>
    <t>Прикладная научно-исследовательская работа</t>
  </si>
  <si>
    <t>Наименование подразделения НИСП</t>
  </si>
  <si>
    <t>Вид научного исследования</t>
  </si>
  <si>
    <t>Источник финансирования</t>
  </si>
  <si>
    <t>Субсидия на выполнение государственного задания 0110 (ФНИ)</t>
  </si>
  <si>
    <t>Субсидия на выполнение государственного задания 0708 (ПНИ)</t>
  </si>
  <si>
    <t>Фундаментальные научные исследования</t>
  </si>
  <si>
    <t>ежеквартальная</t>
  </si>
  <si>
    <t>годовая</t>
  </si>
  <si>
    <t>Должность участника НИР</t>
  </si>
  <si>
    <t>Предварительное распределение</t>
  </si>
  <si>
    <t>Количество рабочих часов в год по теме</t>
  </si>
  <si>
    <t>По работам</t>
  </si>
  <si>
    <t>Ежеквартальная премия 20%</t>
  </si>
  <si>
    <t>Годовая премия 30%</t>
  </si>
  <si>
    <t>Фонд Университета</t>
  </si>
  <si>
    <t>Фонд НИСП</t>
  </si>
  <si>
    <t>Фонд Дирекции</t>
  </si>
  <si>
    <t>Номер темы</t>
  </si>
  <si>
    <t>Дирекция</t>
  </si>
  <si>
    <t>4.3.</t>
  </si>
  <si>
    <t>Смета расходов на выполнение научно-исследовательских работ в рамках государственного задания
Финансового университета</t>
  </si>
  <si>
    <t>Условие:</t>
  </si>
  <si>
    <t>не соответствие соотношению</t>
  </si>
  <si>
    <t>превышение лимитов</t>
  </si>
  <si>
    <t>Трудозатраты Членов ВТК</t>
  </si>
  <si>
    <t>Соотношение занимаемых ставок по участникам НИР</t>
  </si>
  <si>
    <t>Лимиты по ставкам</t>
  </si>
  <si>
    <t>Распределение</t>
  </si>
  <si>
    <t>Трансформация основных политических институтов и идеологий под влиянием цифровой революции и новой социально-экономической повестки</t>
  </si>
  <si>
    <t>Психология экономического поведения личности в виртуальной среде</t>
  </si>
  <si>
    <t>Финансово-экономические механизмы развития макрорегионов, городских агломераций и моногородов</t>
  </si>
  <si>
    <t>Цифровая экосистема финансово-экономических прогнозов в системе управления государственными финансами</t>
  </si>
  <si>
    <t>Методология совершенствования воспитательных практик в развитии молодежи</t>
  </si>
  <si>
    <t>Страхование в ESG</t>
  </si>
  <si>
    <t>Трансформация мировой валютно-финансовой системы в современных условиях</t>
  </si>
  <si>
    <t>Теория и методология контроллинга в государственном секторе</t>
  </si>
  <si>
    <t>Теоретические основы формирования новой парадигмы управления социально-экономическим, технологическим и финансовым развитием России: междисциплинарный синтез эволюционных и волновых концепций</t>
  </si>
  <si>
    <t>Социально-экономическое развитие в эпоху фундаментальной трансформации систем</t>
  </si>
  <si>
    <t>Цифровизация государственного управления</t>
  </si>
  <si>
    <t>Трансформационные процессы в системе международных экономических отношений в современных условиях</t>
  </si>
  <si>
    <t>Государственная финансовая политика: новые вызовы и новые концепции в постковидной экономике</t>
  </si>
  <si>
    <t>Теория и методология развития отраслевой системы финансирования здравоохранения Российской Федерации</t>
  </si>
  <si>
    <t>Финансовые мультипликаторы обеспечения устойчивого экономического роста в условиях санкционной экономики</t>
  </si>
  <si>
    <t>Модель финансовой метавселенной для государственного сектора в России</t>
  </si>
  <si>
    <t>Концепция единого цифрового пространства для эффективного функционирования российской промышленности</t>
  </si>
  <si>
    <t>Управление качеством жизни в России в связи с достижением целей национального развития</t>
  </si>
  <si>
    <t>Социальные механизмы формирования доверия в трансформирующихся экономических отношениях</t>
  </si>
  <si>
    <t>Теория и методология пространственного распределения экономических ресурсов</t>
  </si>
  <si>
    <t>Наименование_темы</t>
  </si>
  <si>
    <t>Вид_научного_исследования</t>
  </si>
  <si>
    <t>Номер_темы</t>
  </si>
  <si>
    <t>Наименование_подразделения_НИСП</t>
  </si>
  <si>
    <t>Стоимость_темы</t>
  </si>
  <si>
    <t>Свободный объём ставки</t>
  </si>
  <si>
    <t>Сумма</t>
  </si>
  <si>
    <t>% и трудозатарты</t>
  </si>
  <si>
    <t>сумма % и трудозатрат составляет менее 100%</t>
  </si>
  <si>
    <t>сумма % и трудозатрат составляет более 100%</t>
  </si>
  <si>
    <t>Вакансия</t>
  </si>
  <si>
    <t>НТР не более 50% от общей суммы трудозатрат по категории</t>
  </si>
  <si>
    <t>НПР не более 10% от общей суммы трудозатрат по категории</t>
  </si>
  <si>
    <t>Иные не более 20% от общей суммы трудозатрат по категории</t>
  </si>
  <si>
    <t>превышение условий:</t>
  </si>
  <si>
    <t>Руководитель_ВТК</t>
  </si>
  <si>
    <t>Член_ВТК</t>
  </si>
  <si>
    <t>Ученая степень</t>
  </si>
  <si>
    <t>Доктор наук</t>
  </si>
  <si>
    <t>Кандидат наук</t>
  </si>
  <si>
    <t>Без степени</t>
  </si>
  <si>
    <t>______________________________ С.П. Солянникова</t>
  </si>
  <si>
    <t>Примечание</t>
  </si>
  <si>
    <t>Состав членов ВТК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</si>
  <si>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</si>
  <si>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</si>
  <si>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</si>
  <si>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</si>
  <si>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</si>
  <si>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</si>
  <si>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</si>
  <si>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</si>
  <si>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</si>
  <si>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</si>
  <si>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</si>
  <si>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</si>
  <si>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</si>
  <si>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</si>
  <si>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</si>
  <si>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</si>
  <si>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</si>
  <si>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</si>
  <si>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</si>
  <si>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</si>
  <si>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здесь выбирается работа</t>
  </si>
  <si>
    <t>трудозатарты</t>
  </si>
  <si>
    <r>
      <t xml:space="preserve">сумма трудозатрат по Подвидам работ </t>
    </r>
    <r>
      <rPr>
        <b/>
        <sz val="11"/>
        <rFont val="Times New Roman"/>
        <family val="1"/>
        <charset val="204"/>
      </rPr>
      <t>более</t>
    </r>
    <r>
      <rPr>
        <sz val="11"/>
        <rFont val="Times New Roman"/>
        <family val="1"/>
        <charset val="204"/>
      </rPr>
      <t xml:space="preserve"> суммы Видов работ</t>
    </r>
  </si>
  <si>
    <r>
      <t xml:space="preserve">сумма трудозатрат по Подвидам работ </t>
    </r>
    <r>
      <rPr>
        <b/>
        <sz val="11"/>
        <rFont val="Times New Roman"/>
        <family val="1"/>
        <charset val="204"/>
      </rPr>
      <t>менее</t>
    </r>
    <r>
      <rPr>
        <sz val="11"/>
        <rFont val="Times New Roman"/>
        <family val="1"/>
        <charset val="204"/>
      </rPr>
      <t xml:space="preserve"> суммы Видов работ</t>
    </r>
  </si>
  <si>
    <t>Эталонное соотношение занимаемых ставок по участникам НИР</t>
  </si>
  <si>
    <t>Фактическое соотношение занимаемых ставок по участникам НИР</t>
  </si>
  <si>
    <t>Фактическое общее количество ставок</t>
  </si>
  <si>
    <t>Фактическое количество рабочих часов с учетом % задействованности</t>
  </si>
  <si>
    <t>Лимит по количеству рабочих часов в год по теме</t>
  </si>
  <si>
    <t>Отклонение лимита ставок от фактических ставок</t>
  </si>
  <si>
    <t>Отклонение лимита количества рабочего времени от фактического распределения рабочего времени</t>
  </si>
  <si>
    <t>Трудозатраты по вакантным ставкам</t>
  </si>
  <si>
    <t>Член_ВТК_внешний_эксперт</t>
  </si>
  <si>
    <t>нарушение условий:</t>
  </si>
  <si>
    <t>Повышающий коэфф. Внешнего эксперта</t>
  </si>
  <si>
    <t>Главный научный сотрудник, коэфф. - 1</t>
  </si>
  <si>
    <t>Младший научный сотрудник, коэфф. - от 1 до 1,25</t>
  </si>
  <si>
    <t>Ведущий научный сотрудник, коэфф. - от 1 до 1,1</t>
  </si>
  <si>
    <t>Доктор_наук</t>
  </si>
  <si>
    <t>Кандидат_наук</t>
  </si>
  <si>
    <t>Заместитель_директора_центра_НР_Доктор_наук</t>
  </si>
  <si>
    <t>Заместитель_директора_центра_АУП_Доктор_наук</t>
  </si>
  <si>
    <t>Декан_факультета_Доктор_наук</t>
  </si>
  <si>
    <t>Заведующий_кафедрой_Доктор_наук</t>
  </si>
  <si>
    <t>Заведующий_лабораторией_Доктор_наук</t>
  </si>
  <si>
    <t>Директор_института_НР_Доктор_наук</t>
  </si>
  <si>
    <t>Директор_центра_НР_Доктор_наук</t>
  </si>
  <si>
    <t>Директор_института_АУП_Доктор_наук</t>
  </si>
  <si>
    <t>Директор_центра_АУП_Доктор_наук</t>
  </si>
  <si>
    <t>Заместитель_директора_центра_НР_Кандидат_наук</t>
  </si>
  <si>
    <t>Заместитель_директора_центра_АУП_Кандидат_наук</t>
  </si>
  <si>
    <t>Декан_факультета_Кандидат_наук</t>
  </si>
  <si>
    <t>Заведующий_кафедрой_Кандидат_наук</t>
  </si>
  <si>
    <t>Заведующий_лабораторией_Кандидат_наук</t>
  </si>
  <si>
    <t>Директор_института_НР_Кандидат_наук</t>
  </si>
  <si>
    <t>Директор_центра_НР_Кандидат_наук</t>
  </si>
  <si>
    <t>Директор_института_АУП_Кандидат_наук</t>
  </si>
  <si>
    <t>Директор_центра_АУП_Кандидат_наук</t>
  </si>
  <si>
    <t>Без_степени</t>
  </si>
  <si>
    <t>Внешний_эксперт_Доктор_наук</t>
  </si>
  <si>
    <t>Внешний_эксперт_Кандидат_наук</t>
  </si>
  <si>
    <t>Заместитель директора центра НР Доктор наук</t>
  </si>
  <si>
    <t>Заместитель директора центра НР Кандидат наук</t>
  </si>
  <si>
    <t>Декан факультета Доктор наук</t>
  </si>
  <si>
    <t>Декан факультета Кандидат наук</t>
  </si>
  <si>
    <t>Заведующий кафедрой Доктор наук</t>
  </si>
  <si>
    <t>Заведующий кафедрой Кандидат наук</t>
  </si>
  <si>
    <t>Заведующий лабораторией Доктор наук</t>
  </si>
  <si>
    <t>Заведующий лабораторией Кандидат наук</t>
  </si>
  <si>
    <t>Заместитель директора института Доктор наук</t>
  </si>
  <si>
    <t>Заместитель директора института Кандидат наук</t>
  </si>
  <si>
    <t>Студент, Аспирант</t>
  </si>
  <si>
    <t>Внешний эксперт Доктор наук</t>
  </si>
  <si>
    <t>Внешний эксперт Кандидат наук</t>
  </si>
  <si>
    <t>Категории</t>
  </si>
  <si>
    <t>Соотношение категорий</t>
  </si>
  <si>
    <t>Категория2</t>
  </si>
  <si>
    <t>Категория1</t>
  </si>
  <si>
    <t>Заведующий кафедрой Без степени</t>
  </si>
  <si>
    <t>Декан факультета Без степени</t>
  </si>
  <si>
    <t>Заведующий лабораторией Без степени</t>
  </si>
  <si>
    <t>Директор института НР Без степени</t>
  </si>
  <si>
    <t>Директор центра НР Без степени</t>
  </si>
  <si>
    <t>Заместитель директора центра НР Без степени</t>
  </si>
  <si>
    <t>Внешний эксперт Без степени</t>
  </si>
  <si>
    <t>Внешний_эксперт_Без_степени</t>
  </si>
  <si>
    <t>Декан_факультета_Без_степени</t>
  </si>
  <si>
    <t>Директор_института_АУП_Без_степени</t>
  </si>
  <si>
    <t>Директор_института_НР_Без_степени</t>
  </si>
  <si>
    <t>Директор_центра_АУП_Без_степени</t>
  </si>
  <si>
    <t>Директор_центра_НР_Без_степени</t>
  </si>
  <si>
    <t>Заведующий_кафедрой_Без_степени</t>
  </si>
  <si>
    <t>Заведующий_лабораторией_Без_степени</t>
  </si>
  <si>
    <t>Заместитель_директора_центра_АУП_Без_степени</t>
  </si>
  <si>
    <t>Заместитель_директора_центра_НР_Без_степени</t>
  </si>
  <si>
    <t>1 квартал</t>
  </si>
  <si>
    <t>2 квартал</t>
  </si>
  <si>
    <t>3 квартал</t>
  </si>
  <si>
    <t>Не распределенная сумма</t>
  </si>
  <si>
    <t>Рекомендованное распределение</t>
  </si>
  <si>
    <t>Распределение Руководителя ВТК</t>
  </si>
  <si>
    <t>Оклад
(годовой)</t>
  </si>
  <si>
    <t>Интенсивность
(годовая)</t>
  </si>
  <si>
    <t>ИТОГО:</t>
  </si>
  <si>
    <t>Оклад + Интенсивность</t>
  </si>
  <si>
    <t>Ежеквартальная премия</t>
  </si>
  <si>
    <t>Отклонение</t>
  </si>
  <si>
    <t>Лаборант_исследователь</t>
  </si>
  <si>
    <t>Стажер_исследователь</t>
  </si>
  <si>
    <t>План-задание</t>
  </si>
  <si>
    <t>Публикация научных статей</t>
  </si>
  <si>
    <t>Виды работ 
(в соответствии с п.2 Технического задания)</t>
  </si>
  <si>
    <t>Индивидуальное плановое задание
(конкретизация видов работ)</t>
  </si>
  <si>
    <t>Проректор по научной работе</t>
  </si>
  <si>
    <t>ставка по категории НПР и Иные менее 0,1</t>
  </si>
  <si>
    <t>Общий размер ставок занимаемых в Финуниверситете, за исключением должностей относящихся к категории НС</t>
  </si>
  <si>
    <t>Президент Доктор наук</t>
  </si>
  <si>
    <t>Стоимость трудозатрат,
руб./в час
(расчет по макре)</t>
  </si>
  <si>
    <t>ТИТУЛ</t>
  </si>
  <si>
    <t>Директор дирекции по организационному сопровождению научных исследований</t>
  </si>
  <si>
    <t>подпись</t>
  </si>
  <si>
    <t>________________                                   Елисеева Г.И.</t>
  </si>
  <si>
    <t xml:space="preserve">Директор центра нормирования труда и заработной платы </t>
  </si>
  <si>
    <t>Штатное расписание состава членов ВТК</t>
  </si>
  <si>
    <t>1. Центр нормирования труда и заработной платы</t>
  </si>
  <si>
    <t>2. Дирекция по организационному сопровождению научных исследований</t>
  </si>
  <si>
    <t>3. Планово-финансовое управление</t>
  </si>
  <si>
    <t>1. Титул</t>
  </si>
  <si>
    <t>2. Состав ВТК (ПЕЧАТЬ)</t>
  </si>
  <si>
    <t>4. План-задание</t>
  </si>
  <si>
    <t>Наименование_подразделения_ВТК</t>
  </si>
  <si>
    <t xml:space="preserve">Центр нормирования труда и заработной платы </t>
  </si>
  <si>
    <t>СОГЛАСОВАНО:</t>
  </si>
  <si>
    <t>Дирекция по организационному сопровождению научных исследований</t>
  </si>
  <si>
    <t>Заместитель проректора по экономической и финансовой работе</t>
  </si>
  <si>
    <t>Планово-финансовое управление</t>
  </si>
  <si>
    <t>Обязательные выплаты</t>
  </si>
  <si>
    <t>Сумма для распределения:</t>
  </si>
  <si>
    <t>ВСЕГО к оплате по рекомендованному распределению</t>
  </si>
  <si>
    <t>ВСЕГО к оплате по распределению Руководителя ВТК</t>
  </si>
  <si>
    <t>Рекомендованное ГОДОВОЕ распределение</t>
  </si>
  <si>
    <t>Рекомендованное распределение 1 КВАРТАЛ</t>
  </si>
  <si>
    <t>Рекомендованное распределение 2 КВАРТАЛ</t>
  </si>
  <si>
    <t>Рекомендованное распределение 3 КВАРТАЛ</t>
  </si>
  <si>
    <t>ВСЕГО</t>
  </si>
  <si>
    <t>Среднемесячная заработная плата категории НПР (200%)</t>
  </si>
  <si>
    <t>Распределение по фактическому составу ВТК</t>
  </si>
  <si>
    <t>сумма по категории НТР и НПР меньше суммы распределения по фактическому составу ВТК</t>
  </si>
  <si>
    <t>сумма распределения Руководителя ВТК меньше суммы квартального/годового распределения</t>
  </si>
  <si>
    <t>сумма распределения Руководителя ВТК больше суммы квартального/годового распределения</t>
  </si>
  <si>
    <t>сумма квартальных выплат более 200%, сумма годовых выплат более 300%</t>
  </si>
  <si>
    <t>Эталон по ставкам</t>
  </si>
  <si>
    <t>Факт по членам ВТК</t>
  </si>
  <si>
    <t>Безвозмездно</t>
  </si>
  <si>
    <t>По заданиям</t>
  </si>
  <si>
    <t>выбрать из списка</t>
  </si>
  <si>
    <t>здесь заводится задание</t>
  </si>
  <si>
    <t>здесь заводится работа</t>
  </si>
  <si>
    <t>Начальник планово-финансового управления</t>
  </si>
  <si>
    <t>Предложение по премированию</t>
  </si>
  <si>
    <t>Контроль по исполнению среднемесячной заработной платы категории НПР по основному месту работы (200%)</t>
  </si>
  <si>
    <t>Плановая сумма</t>
  </si>
  <si>
    <t>Плановый %</t>
  </si>
  <si>
    <t>Отклонение сумма плана - сумма премирования</t>
  </si>
  <si>
    <t>Отклонение % плана - % премирования</t>
  </si>
  <si>
    <t>Категория по основному месту работы</t>
  </si>
  <si>
    <t>Годовая премия</t>
  </si>
  <si>
    <t>Период</t>
  </si>
  <si>
    <t>1 полугодие</t>
  </si>
  <si>
    <t>Размер премии,
в руб.</t>
  </si>
  <si>
    <t>Сумма распределенная</t>
  </si>
  <si>
    <t>% от распределения</t>
  </si>
  <si>
    <t>Максимальный размер трудозатрат</t>
  </si>
  <si>
    <t>Премирование</t>
  </si>
  <si>
    <t>год</t>
  </si>
  <si>
    <t>с</t>
  </si>
  <si>
    <t>по</t>
  </si>
  <si>
    <t>Рабочие дни</t>
  </si>
  <si>
    <t>Рабочие часы в день</t>
  </si>
  <si>
    <t>сумма трудозатрат превышает максимальное значение трудозатрат по вкладке "Состав ВТК"</t>
  </si>
  <si>
    <t>ставка по категориям НПР и Иные менее 0,10</t>
  </si>
  <si>
    <t>№ элемента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</si>
  <si>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</si>
  <si>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</si>
  <si>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</si>
  <si>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</si>
  <si>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</si>
  <si>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</si>
  <si>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</si>
  <si>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</si>
  <si>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</si>
  <si>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</si>
  <si>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</si>
  <si>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</si>
  <si>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</si>
  <si>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</si>
  <si>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</si>
  <si>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</si>
  <si>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</si>
  <si>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</si>
  <si>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</si>
  <si>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</si>
  <si>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</si>
  <si>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</si>
  <si>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</si>
  <si>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</si>
  <si>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</si>
  <si>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</si>
  <si>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</si>
  <si>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</si>
  <si>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</si>
  <si>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</si>
  <si>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</si>
  <si>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</si>
  <si>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По итогам согласования документа, распечатываются и подписываются следующие вкладки:</t>
  </si>
  <si>
    <t>Президент_Доктор_наук</t>
  </si>
  <si>
    <t>Первый_заместитель_декана_Доктор_наук</t>
  </si>
  <si>
    <t>Заместитель_научного_руководителя_Доктор_наук</t>
  </si>
  <si>
    <t>Первый_заместитель_руководителя_департамента_Доктор_наук</t>
  </si>
  <si>
    <t>Заместитель_заведующего_кафедрой_Доктор_наук</t>
  </si>
  <si>
    <t>Первый_заместитель_декана_Кандидат_наук</t>
  </si>
  <si>
    <t>Заместитель_научного_руководителя_Кандидат_наук</t>
  </si>
  <si>
    <t>Первый_заместитель_руководителя_департамента_Кандидат_наук</t>
  </si>
  <si>
    <t>Заместитель_заведующего_кафедрой_Кандидат_наук</t>
  </si>
  <si>
    <t>Начальник_управления_Без_степени</t>
  </si>
  <si>
    <t>Руководитель_службы_Без_степени</t>
  </si>
  <si>
    <t>Первый_заместитель_декана_Без_степени</t>
  </si>
  <si>
    <t>Заместитель_научного_руководителя_Без_степени</t>
  </si>
  <si>
    <t>Первый_заместитель_руководителя_департамента_Без_степени</t>
  </si>
  <si>
    <t>Заместитель_заведующего_кафедрой_Без_степени</t>
  </si>
  <si>
    <t>Заместитель_начальника_управления_Без_степени</t>
  </si>
  <si>
    <t>Заместитель_руководителя_службы_Без_степени</t>
  </si>
  <si>
    <t>Заместитель_заведующего_лабораторией_Без_степени</t>
  </si>
  <si>
    <t>Заместитель_начальника_отдела_Без_степени</t>
  </si>
  <si>
    <t>Проректор по научной работе (для НИСП прямого подчинения) или декан соответствующего факультета</t>
  </si>
  <si>
    <t>Начальник_отдела_Без_степени</t>
  </si>
  <si>
    <t>Заместитель_декана_по_направлениям_Доктор_наук</t>
  </si>
  <si>
    <t>Помощник_по_направлениям_Без_степени</t>
  </si>
  <si>
    <t>Заместитель_декана_по_направлениям_Без_степени</t>
  </si>
  <si>
    <t>Заместитель_декана_по_направлениям_Кандидат_наук</t>
  </si>
  <si>
    <t>Профессор_консультант_Без_степени</t>
  </si>
  <si>
    <t>Профессор_исследователь_Без_степени</t>
  </si>
  <si>
    <t>Первый заместитель декана Доктор наук</t>
  </si>
  <si>
    <t>Заместитель декана (по направлениям) Доктор наук</t>
  </si>
  <si>
    <t>Заместитель научного руководителя Доктор наук</t>
  </si>
  <si>
    <t>Первый заместитель руководителя департамента Доктор наук</t>
  </si>
  <si>
    <t>Заместитель заведующего кафедрой Доктор наук</t>
  </si>
  <si>
    <t>Первый заместитель декана Кандидат наук</t>
  </si>
  <si>
    <t>Заместитель декана (по направлениям) Кандидат наук</t>
  </si>
  <si>
    <t>Заместитель научного руководителя Кандидат наук</t>
  </si>
  <si>
    <t>Первый заместитель руководителя департамента Кандидат наук</t>
  </si>
  <si>
    <t>Заместитель заведующего кафедрой Кандидат наук</t>
  </si>
  <si>
    <t>Руководитель департамента Без степени</t>
  </si>
  <si>
    <t>Профессор-консультант</t>
  </si>
  <si>
    <t>Профессор-исследователь</t>
  </si>
  <si>
    <t>Начальник управления</t>
  </si>
  <si>
    <t>Руководитель службы</t>
  </si>
  <si>
    <t>Первый заместитель декана Без степени</t>
  </si>
  <si>
    <t>Заместитель декана (по направлениям) Без степени</t>
  </si>
  <si>
    <t>Заместитель научного руководителя Без степени</t>
  </si>
  <si>
    <t>Первый заместитель руководителя департамента Без степени</t>
  </si>
  <si>
    <t>Заместитель заведующего кафедрой Без степени</t>
  </si>
  <si>
    <t>Заместитель начальника управления</t>
  </si>
  <si>
    <t>Заместитель руководителя службы</t>
  </si>
  <si>
    <t>Заместитель заведующего лабораторией</t>
  </si>
  <si>
    <t>Начальник отдела</t>
  </si>
  <si>
    <t>Заместитель начальника отдела</t>
  </si>
  <si>
    <t>Помощник (по направлениям)</t>
  </si>
  <si>
    <t>Период работы в составе ВТК</t>
  </si>
  <si>
    <r>
      <rPr>
        <sz val="11"/>
        <color theme="1"/>
        <rFont val="Times New Roman"/>
        <family val="1"/>
        <charset val="204"/>
      </rPr>
      <t>Фактическая расчетная среднемесячная ЗП категории НПР</t>
    </r>
    <r>
      <rPr>
        <b/>
        <sz val="11"/>
        <color theme="1"/>
        <rFont val="Times New Roman"/>
        <family val="1"/>
        <charset val="204"/>
      </rPr>
      <t xml:space="preserve">
(Распределение по фактическому составу ВТК)</t>
    </r>
  </si>
  <si>
    <r>
      <rPr>
        <sz val="11"/>
        <color theme="1"/>
        <rFont val="Times New Roman"/>
        <family val="1"/>
        <charset val="204"/>
      </rPr>
      <t>Фактическая расчетная среднемесячная ЗП категории НПР</t>
    </r>
    <r>
      <rPr>
        <b/>
        <sz val="11"/>
        <color theme="1"/>
        <rFont val="Times New Roman"/>
        <family val="1"/>
        <charset val="204"/>
      </rPr>
      <t xml:space="preserve">
(Распределение Руководителя ВТК)</t>
    </r>
  </si>
  <si>
    <t>Документ согласовывается в следующем порядке:</t>
  </si>
  <si>
    <t>Размер трудозатрат (вкладка Трудозатраты членов ВТК)</t>
  </si>
  <si>
    <t>Изменения периода работы в составе ВТК</t>
  </si>
  <si>
    <t>Изменения периода работы и размера трудозатрат членов ВТК</t>
  </si>
  <si>
    <t>Отработанные трудозатраты</t>
  </si>
  <si>
    <t>Не распределенная сумма от высвободившихся ставок</t>
  </si>
  <si>
    <t>Рекомендованное распределение без не распределенных сумм</t>
  </si>
  <si>
    <t>годовая премия с минусовыми значениями</t>
  </si>
  <si>
    <t>Годовая премия с учетом не распределенной суммы от высвободившихся ставок</t>
  </si>
  <si>
    <t>Высвободившийся/Новый размер трудозатрат от Первоначального расчета</t>
  </si>
  <si>
    <t>Период работы</t>
  </si>
  <si>
    <t>Порядок работы с калькулятором</t>
  </si>
  <si>
    <r>
      <t xml:space="preserve">(в файле заполняются только поля, выделенные </t>
    </r>
    <r>
      <rPr>
        <b/>
        <sz val="18"/>
        <color theme="9"/>
        <rFont val="Times New Roman"/>
        <family val="1"/>
        <charset val="204"/>
      </rPr>
      <t>зеленым цветом</t>
    </r>
    <r>
      <rPr>
        <b/>
        <sz val="14"/>
        <color theme="1"/>
        <rFont val="Times New Roman"/>
        <family val="1"/>
        <charset val="204"/>
      </rPr>
      <t>)</t>
    </r>
  </si>
  <si>
    <t>1.            Во вкладке "Титул" в ячейке B7 выбирается из списка номер темы. (перечень всех тем можно посмотреть во вкладке "Темы")</t>
  </si>
  <si>
    <t>2.            В случае необходимости (потребности) заполняются вкладки "Мат.запасы", "Командировочные", "Прочие расходы"</t>
  </si>
  <si>
    <t>3.            Во вкладке "Состав ВТК" заполняете столбцы B, C, D, F, G, J, K, L, M, P, Q, U</t>
  </si>
  <si>
    <t>·              В столбце B "ФИО" прописывается полностью, без сокращений, Фамилия Имя Отчество члена ВТК.</t>
  </si>
  <si>
    <t>·              В столбце D "Должность по основному месту работы" выбираете из выпадающего списка должность члена ВТК по основному его месту работы в Финансовом университете.</t>
  </si>
  <si>
    <t>В случае если:</t>
  </si>
  <si>
    <t>- член ВТК является внешним совместителем, то из списка необходимо выбрать "Внешний эксперт";</t>
  </si>
  <si>
    <t>- член ВТК является студентом и у него нет трудовых отношений с Финансовым университетом, то из списка необходимо выбрать "Студент";</t>
  </si>
  <si>
    <t>- член ВТК является студентом и у него есть трудовые отношения с Финансовым университетом, то по решению Руководителя НИР из списка выбирается "Студент" либо должность по основному месту его работы;</t>
  </si>
  <si>
    <t>- член ВТК является аспирантом и у него нет трудовых отношений с Финансовым университетом, то из списка необходимо выбрать "Аспирант";</t>
  </si>
  <si>
    <t>- член ВТК является аспирантом и у него есть трудовые отношения с Финансовым университетом, то по решению Руководителя НИР из списка выбирается "Аспирант" либо должность по основному месту его работы.</t>
  </si>
  <si>
    <t>·              В столбце G "Общий размер ставок ..." проставляется объем всех ставок, занимаемых в Финансовом университете, за исключением должностей, относящихся к категории НС с источником финансирования БНФ и БНП, с источником финансирования «Внебюджет» НС не исключаются.</t>
  </si>
  <si>
    <t>·              В столбце J "Роль" выбираете из выпадающего списка роль члена ВТК. Для внешнего совместителя выбираете роль – «Член_ВТК_внешний_эксперт».</t>
  </si>
  <si>
    <t>·              В столбце K "Способ оплаты труда" выбираете из выпадающего списка способ оплаты труда.</t>
  </si>
  <si>
    <t>·              В столбце N "Максимальный размер трудозатрат" на основании данных из столбцов L и M рассчитается максимально возможный размер трудозатрат на данную тему.</t>
  </si>
  <si>
    <t>·              В столбце Q "Трудозатраты" распределяются часы на выполнение каждого индивидуального планового задания по каждому виду работ.</t>
  </si>
  <si>
    <t xml:space="preserve">Примечание: </t>
  </si>
  <si>
    <t>·              Размер ставки по категории "НПР" и "Иные" не может быть меньше 0,1 ставки.</t>
  </si>
  <si>
    <t>·              Руководитель ВТК в праве заложить "Вакантные должности" по категориям со следующими условиями:</t>
  </si>
  <si>
    <t>- НПР не более 10% от общей суммы трудозатрат по категории;</t>
  </si>
  <si>
    <t>- НТР не более 50% от общей суммы трудозатрат по категории;</t>
  </si>
  <si>
    <t>- Иные не более 20% от общей суммы трудозатрат по категории.</t>
  </si>
  <si>
    <t>6.            Во вкладке "Распределение" заполняются столбцы L, O.</t>
  </si>
  <si>
    <t>·              В столбце L "Должность участника НИР", заполняется из выпадающего списка. При этом должность ГНС предусмотрена только для должностей, указанных в таблице "Соотношение категорий".</t>
  </si>
  <si>
    <t>·              В столбце O "Повышающий коэффициент" не является константой для Руководителя ВТК и Внешнего эксперта устанавливается в следующих размерах:</t>
  </si>
  <si>
    <t>- Руководитель ВТК от 1 до 1,20;</t>
  </si>
  <si>
    <t>- Внешний эксперт в зависимости от наличия ученой степени и занимаемой должности:</t>
  </si>
  <si>
    <t>- Главный научный сотрудник, коэфф. - 1;</t>
  </si>
  <si>
    <t>- Ведущий научный сотрудник, коэфф. - от 1 до 1,1;</t>
  </si>
  <si>
    <t>- Младший научный сотрудник, коэфф. - от 1 до 1,25.</t>
  </si>
  <si>
    <t>7.            Вкладка "Смета" заполняется автоматически на основании данных заполненных в предыдущих пунктах.</t>
  </si>
  <si>
    <t>8.            Вкладка "План-задание" заполняется автоматически на основании данных заполненных в предыдущих пунктах, кроме столбца D "Публикация научных статей" прописываются публикации по каждому члену ВТК.</t>
  </si>
  <si>
    <t>9.            Вкладка "Выплаты" используется Руководителем ВТК для анализа объема доплат по результатам сдачи отчетов.</t>
  </si>
  <si>
    <t>·              В столбцах K, P, U проставляются суммы, предполагаемые к квартальному стимулированию по каждому сотруднику.</t>
  </si>
  <si>
    <t>·              В столбце AA проставляются суммы, предполагаемые к годовому стимулированию по каждому сотруднику.</t>
  </si>
  <si>
    <t>Примечание:</t>
  </si>
  <si>
    <t>Сумма для распределения по группе категории "НТР" не может быть перераспределена на другие группы категории.</t>
  </si>
  <si>
    <t>10.       Во вкладке "Премирование" заполняются данные в столбцах G, J, M, O-Q. Данные заполняются ежеквартально в соответствии с Положением "О премировании работников, участвующих в выполнении фундаментальных и прикладных научно-исследовательских работ по государственному заданию, а также обеспечивающих их организационно-техническое сопровождение", утвержденного приказом Финуниверситета от 09.06.2023 № 1589/о.</t>
  </si>
  <si>
    <t>12.       Вкладка "Соотношение категорий" используется в качестве справочной информации для работы с п.6.</t>
  </si>
  <si>
    <t>Эталонное соотношение занимаемых ставок по участникам НИР (соотношение категорий):</t>
  </si>
  <si>
    <t>- по категории НПР - не менее 50%</t>
  </si>
  <si>
    <t>- по категории НТР - не менее 30%</t>
  </si>
  <si>
    <t>- по категории Иные - не более 20%.</t>
  </si>
  <si>
    <t>Показатели влияющие на изменение стоимости работы члена ВТК:</t>
  </si>
  <si>
    <t>- трудозатраты непосредственно влияют на размер ставки;</t>
  </si>
  <si>
    <t>- стоимость часа зависит от должности участника НИР (расчет от показателя макры по должности участника НИР).</t>
  </si>
  <si>
    <t>В случае максимальной занятости в Университете (1,5 ставки для основных работников (при этом внутреннее совместительство не должно превышать 0,5 ставки не зависимо от объема ставки по основному месту работы если ОМР меньше 1 ставки), 0,5 ставки для внешних совместителей) для участия в Теме Госзадания работнику необходимо высвободить необходимую долю ставки прежде чем войти в состав ВТК.</t>
  </si>
  <si>
    <t>Контроль объема всех ставок, занимаемых в Финансовом университете возложен на Центр нормирования труда и заработной платы.</t>
  </si>
  <si>
    <t>5. Выплаты (с подписями)</t>
  </si>
  <si>
    <t>6. Штатка (ПЕЧАТЬ)</t>
  </si>
  <si>
    <t>7. Смета Рук.ВТК</t>
  </si>
  <si>
    <t>Последовательность заполнения увольняемых членов ВТК</t>
  </si>
  <si>
    <r>
      <t xml:space="preserve">1.                 Во вкладке «Состав ВТК» в строке увольняемого члена ВТК в столбцах P и Q "Изменения периода работы в составе ВТК" указываете период который член ВТК </t>
    </r>
    <r>
      <rPr>
        <b/>
        <sz val="12"/>
        <color theme="1"/>
        <rFont val="Times New Roman"/>
        <family val="1"/>
        <charset val="204"/>
      </rPr>
      <t>отработал</t>
    </r>
    <r>
      <rPr>
        <sz val="11"/>
        <color theme="1"/>
        <rFont val="Times New Roman"/>
        <family val="1"/>
        <charset val="204"/>
      </rPr>
      <t xml:space="preserve"> (например, планировалось что он проработает с 01.01.2023 по 29.12.2023, но он увольняется из темы с 25.04.2023, значит вы должны отразить период с 01.01.2023 по 25.04.2023).</t>
    </r>
  </si>
  <si>
    <t>После занесения данных в столбце Т рассчитается высвободившийся размер трудозатрат, который вы можете перераспределить.</t>
  </si>
  <si>
    <t>2.                 Во вкладке «Состав ВТК» добавляем ФИО увольняемого члена ВТК с отличительным наименованием (например, изначально у Вас был занесен Иванов Петр Сергеевич, повторно вы его заносите Иванов Петр Сергеевич 1, либо Иванов Петр Сергеевич (увольнение) и т.д.), остальные столбцы с C по K, заполняем без каких-либо изменений, пишем все тоже что и было занесено ранее.</t>
  </si>
  <si>
    <t>5.                 Во вкладке «Распределение» по строке с ФИО занесенного по пункту 2, выбираете Должность и Повышающий коэффициент без каких-либо изменений, пишем все тоже что и было занесено ранее по данному члену ВТК.</t>
  </si>
  <si>
    <t>6.                 Во вкладке «Выплаты» у Вас перераспределяться суммы в соответствии с периодом увольнения члена ВТК, проверьте корректность занесённых данных в столбцах «Распределение Руководителя ВТК», уберите сумму по уволенному члену ВТК в том периоде, когда он не работал (например, Иванов П.С. уволился 25.04.23 значит в 2 и 3 кварталы и годовой премии у него не будет, должно стоять 0,00 руб.).</t>
  </si>
  <si>
    <t>Последовательность заполнения членов ВТК переводящихся на другой размер ставки, в связи с увольнением члена ВТК</t>
  </si>
  <si>
    <r>
      <t xml:space="preserve">1.                 Во вкладке «Состав ВТК» в строке члена ВТК в столбцах P и Q "Изменения периода работы в составе ВТК" указываете период который член ВТК </t>
    </r>
    <r>
      <rPr>
        <b/>
        <sz val="12"/>
        <color theme="1"/>
        <rFont val="Times New Roman"/>
        <family val="1"/>
        <charset val="204"/>
      </rPr>
      <t>отработал</t>
    </r>
    <r>
      <rPr>
        <sz val="11"/>
        <color theme="1"/>
        <rFont val="Times New Roman"/>
        <family val="1"/>
        <charset val="204"/>
      </rPr>
      <t xml:space="preserve"> на ставке (например, планировалось что он проработает с 01.01.2023 по 29.12.2023, но он переводится на другой размер ставки с 25.04.2023, значит вы должны отразить период с 01.01.2023 по 25.04.2023).</t>
    </r>
  </si>
  <si>
    <t>После занесения данных в столбце Т рассчитается высвободившийся размер трудозатрат, который вы перераспределите.</t>
  </si>
  <si>
    <t>2.                 Во вкладке «Состав ВТК» добавляем ФИО члена ВТК с отличительным наименованием (например, изначально у Вас был занесен Петров Иван Олегович, повторно вы его заносите Петров Иван Олегович 1, либо Петров Иван Олегович (перевод) и т.д.), остальные столбцы с C по K, заполняем без каких-либо изменений, пишем все тоже что и было занесено ранее.</t>
  </si>
  <si>
    <t>6.            Во вкладке «Выплаты» у Вас перераспределяться суммы в соответствии с периодом перевода члена ВТК, проверьте корректность занесённых данных в столбцах «Распределение Руководителя ВТК», уберите сумму по члену ВТК в том периоде, когда он перевелся на другую ставку (например, Петров И.О. перевелся с 25.04.23 значит в 2 и 3 кварталы и годовой премии у него не будет по этой ставки, должно стоять 0,00 руб., суммы потребуется отразить по новой ставке Петров И.О. (перевод)).</t>
  </si>
  <si>
    <t>Директор института Доктор наук</t>
  </si>
  <si>
    <t>Директор центра Доктор наук</t>
  </si>
  <si>
    <t>Руководитель учебно-научного департамента Доктор наук</t>
  </si>
  <si>
    <t>Профессор Доктор наук</t>
  </si>
  <si>
    <t>Заместитель директора (институт) Доктор наук</t>
  </si>
  <si>
    <t>Заместитель директора центра Доктор наук</t>
  </si>
  <si>
    <t>Заместитель руководителя учебно-научного департамента Доктор наук</t>
  </si>
  <si>
    <t>Профессор-консультант, профессор-исследователь Доктор наук</t>
  </si>
  <si>
    <t>Директор института Кандидат наук</t>
  </si>
  <si>
    <t>Заместитель директора (институт) Кандидат наук</t>
  </si>
  <si>
    <t>Профессор Кандидат наук</t>
  </si>
  <si>
    <t>Директор центра Кандидат наук</t>
  </si>
  <si>
    <t>Руководитель учебно-научного департамента Кандидат наук</t>
  </si>
  <si>
    <t>Профессор-консультант, профессор-исследователь Кандидат наук</t>
  </si>
  <si>
    <t>Заместитель руководителя учебно-научного департамента Кандидат наук</t>
  </si>
  <si>
    <t>Заместитель директора центра Кандидат наук</t>
  </si>
  <si>
    <t>Директор института Без степени</t>
  </si>
  <si>
    <t xml:space="preserve">Заместитель директора института </t>
  </si>
  <si>
    <t>Заместитель директора (институт) Без степени</t>
  </si>
  <si>
    <t>Директор центра Без степени</t>
  </si>
  <si>
    <t>Заместитель руководителя учебно-научного департамента Без степени</t>
  </si>
  <si>
    <t>Заместитель директора центра Без степени</t>
  </si>
  <si>
    <t>______________________________ Н.А. Гапонова</t>
  </si>
  <si>
    <t>Руководитель_учебно_научного_департамента_Без_степени</t>
  </si>
  <si>
    <t>Руководитель_учебно_научного_департамента_Доктор_наук</t>
  </si>
  <si>
    <t>Руководитель_учебно_научного_департамента_Кандидат_наук</t>
  </si>
  <si>
    <t>Заместитель_директора_института_АУП_Без_степени</t>
  </si>
  <si>
    <t>Заместитель_директора_института_АУП_Доктор_наук</t>
  </si>
  <si>
    <t>Заместитель_директора_института_АУП_Кандидат_наук</t>
  </si>
  <si>
    <t>Заместитель_директора_института_НР_Без_степени</t>
  </si>
  <si>
    <t>Заместитель_директора_института_НР_Доктор_наук</t>
  </si>
  <si>
    <t>Заместитель_директора_института_НР_Кандидат_наук</t>
  </si>
  <si>
    <t>Заместитель_руководителя_учебно_научного_департамента_Без_степени</t>
  </si>
  <si>
    <t>Заместитель_руководителя_учебно_научного_департамента_Доктор_наук</t>
  </si>
  <si>
    <t>Заместитель_руководителя_учебно_научного_департамента_Кандидат_наук</t>
  </si>
  <si>
    <t>Профессор_исследователь_Доктор_наук</t>
  </si>
  <si>
    <t>Профессор_исследователь_Кандидат_наук</t>
  </si>
  <si>
    <t>Профессор_консультант_Доктор_наук</t>
  </si>
  <si>
    <t>Профессор_консультант_Кандидат_наук</t>
  </si>
  <si>
    <r>
      <rPr>
        <b/>
        <sz val="11"/>
        <color theme="1"/>
        <rFont val="Times New Roman"/>
        <family val="1"/>
        <charset val="204"/>
      </rPr>
      <t>Ежегодно надо обновлять следующие данные:</t>
    </r>
    <r>
      <rPr>
        <sz val="11"/>
        <color theme="1"/>
        <rFont val="Times New Roman"/>
        <family val="1"/>
        <charset val="204"/>
      </rPr>
      <t xml:space="preserve">
- вкладка "Расченка":
         Средняя ЗП по региону на 20__ год (прогноз) (ячейка R3);
         Рабочее время за 20__ год (в часах) (столбец S строки 20-22);
- вкладка "Справочник":
         Выходные дни в 20__ г.
</t>
    </r>
  </si>
  <si>
    <r>
      <rPr>
        <b/>
        <sz val="11"/>
        <color theme="1"/>
        <rFont val="Times New Roman"/>
        <family val="1"/>
        <charset val="204"/>
      </rPr>
      <t>В случае необходимость вносить изменения следующих данных:</t>
    </r>
    <r>
      <rPr>
        <sz val="11"/>
        <color theme="1"/>
        <rFont val="Times New Roman"/>
        <family val="1"/>
        <charset val="204"/>
      </rPr>
      <t xml:space="preserve">
- во вкладке "Расчет участников НИР":
         Коэффициент ср. ЗП (столбцы J и M, строки 3-5);
         Соотношение НПР/НТР (столбцы K и N, строки 3-5);
         Процент накладных расходов (Фонды) (столбцы T, U, V, строка 3);
- во вкладке "Расценка":
         Оклад (столбец J, строки 3-9);
         Дополнять Соотношение должностей по основному месту работы и должностью участника НИР, категорий, степень (столбцы M, N, O, P, строки 3-370);
- во вкладке "Справочник":
         Коэффициенты (столбцы M, N, O, P, строки 2-7).</t>
    </r>
  </si>
  <si>
    <t>Трудозатраты, в часах</t>
  </si>
  <si>
    <t>Распределение трудозатрат по видам работ</t>
  </si>
  <si>
    <t>Средняя ЗП по региону на 2024 год (прогноз)</t>
  </si>
  <si>
    <t>Средняя ЗП по региону на 2024 год (прогноз) с учетом страховых взносов</t>
  </si>
  <si>
    <t>Ответственный_исполнитель</t>
  </si>
  <si>
    <t>Стимулирование  притока инвестиций на российский рынок ценных бумаг и его развития на основе защиты прав инвесторов и снижения рисков в контексте национальной финансовой безопасности</t>
  </si>
  <si>
    <t>Стимулирование экспортного предпринимательства в условиях санкционных ограничений России</t>
  </si>
  <si>
    <t>Бюджетно-налоговые механизмы интеграции новых регионов в экономическое пространство России</t>
  </si>
  <si>
    <t>Развитие механизмов аренды и лизинга социального жилья</t>
  </si>
  <si>
    <t>Фискальные механизмы преференциальной экономики в условиях новой модели технологического суверенитета промышленности</t>
  </si>
  <si>
    <t>Актуарный анализ методов и практики индексации государственных пенсионных обязательств различным категориям застрахованных лиц</t>
  </si>
  <si>
    <t>Разработка экономических механизмов интеграции новых регионов в социально-экономическое пространство России</t>
  </si>
  <si>
    <t>Разработка процедуры внедрения общегосударственного стандарта межведомственного взаимодействия субъектов в сфере ПОД/ФТ с применением современных цифровых технологий и с учетом рисков введения санкционных ограничений</t>
  </si>
  <si>
    <t>Расширение фискального пространства федерального и субфедерального уровней бюджетов бюджетной системы России с учетом последствий санкционных ограничений</t>
  </si>
  <si>
    <t>Особенности реализации программы «Фабрика проектного финансирования» в Российской Федерации</t>
  </si>
  <si>
    <t>Роль государственных институтов развития в реализации процессов структурной модернизации российской экономики в условиях геополитической и экономической нестабильности</t>
  </si>
  <si>
    <t>Методология трансформации системы внутреннего государственного финансового контроля</t>
  </si>
  <si>
    <t>Развитие государственного финансового регулирования демографических процессов</t>
  </si>
  <si>
    <t xml:space="preserve">Технологии обеспечения политической солидарности российских граждан в условиях международной напряженности </t>
  </si>
  <si>
    <t>Оценка результативности и развитие мер промышленной политики для обеспечения технологической безопасности России в условиях санкционного давления</t>
  </si>
  <si>
    <t>Трансформация модели бюджетного федерализма с учетом современных тенденций пространственного и экономического развития Российской Федерации</t>
  </si>
  <si>
    <t>Актуарный анализ тарифно-налоговой политики обязательного пенсионного и социального страхования для достижения национальных целей благосостояния граждан России</t>
  </si>
  <si>
    <t>Экосистемность как новый тренд развития рынка финансовых услуг: границы и противоречия</t>
  </si>
  <si>
    <t>Совершенствование теоретико-методических аспектов расчета действительных налоговых обязательств в налоговом администрировании</t>
  </si>
  <si>
    <t>Модернизация бюджетных правил в контексте обеспечения устойчивости бюджетной системы</t>
  </si>
  <si>
    <t>Механизмы международных финансовых отношений Российской Федерации в современных условиях</t>
  </si>
  <si>
    <t>Развитие механизмов промышленной, технологической кооперации России  с государствами - членами ЕАЭС для наращивания несырьевого  неэнергетического экспорта в условиях санкций</t>
  </si>
  <si>
    <t>Обеспечение опережающего экономического роста в России за счёт использования эффекта технологического масштаба</t>
  </si>
  <si>
    <t>Параллельный импорт в Российской Федерации</t>
  </si>
  <si>
    <t>Мобилизационные элементы налоговой политики Российской Федерации</t>
  </si>
  <si>
    <t xml:space="preserve">Эффективные инструменты формирования финансово грамотного поведения населения в условиях санкционного давления. </t>
  </si>
  <si>
    <t>Модели государственно-частного партнерства в инвестиционной деятельности, используемые в российской экономике: оценка и направления повышения эффективности, перспективы развития</t>
  </si>
  <si>
    <t>Государственное финансовое стимулирование развития туристической инфраструктуры и индустрии гостеприимства в условиях изменения туристических потоков и ландшафта рынка туристических услуг</t>
  </si>
  <si>
    <t>Потенциал национального проекта «Международная кооперация и экспорт»  для  обеспечения  динамичного развития экономики России в современных условиях</t>
  </si>
  <si>
    <t>Совершенствование регулирования развития системы долговременного ухода за гражданами пожилого возраста и инвалидами</t>
  </si>
  <si>
    <t>Разработка рекомендаций по организации государственного предупреждающего смарт-контроля с использованием ресурсов цифровой среды</t>
  </si>
  <si>
    <t>Разработка методологических подходов и инструментария формирования ESG-рейтинга и ESG-рэнкинга институциональных единиц государственного сектора</t>
  </si>
  <si>
    <t>Развитие регулирования в НПС: модели, подходы, международный опыт</t>
  </si>
  <si>
    <t>Формирование условий развития ресурсов и компетенций государственно-частного партнерства для оказания социально-значимых услуг</t>
  </si>
  <si>
    <t>Финансово-правовое регулирование экономической интеграции Российской Федерации с дружественными странами в условиях мирового переустройства</t>
  </si>
  <si>
    <t>Экономический анализ реализации пенсионных прав застрахованных лиц при назначении государственной пенсии (пенсионная формула)</t>
  </si>
  <si>
    <t>Разработка инструментария анализа и моделирования пространственного развития экономики</t>
  </si>
  <si>
    <t xml:space="preserve">Формирование ценностей современной российской молодежи в контексте внешних и внутренних вызовов </t>
  </si>
  <si>
    <t>Воздействие экономических санкций на развитие и функционирование внутреннего рынка Российской Федерации</t>
  </si>
  <si>
    <t>Модификация инструментов трансформации делового климата, нивелирующих существующие барьеры нормативного характера при ведении бизнеса</t>
  </si>
  <si>
    <t>Регуляторное воздействие на финансовый рынок в условиях санкций недружественных государств</t>
  </si>
  <si>
    <t>Теория децентрализованных финансов (DeFi)</t>
  </si>
  <si>
    <t>Разработка интеллектуальных моделей и методов проактивной защиты и обнаружения кибератак на объекты критической информационной инфраструктуры финансового сектора</t>
  </si>
  <si>
    <t>Обеспечение цифрового суверенитета государства</t>
  </si>
  <si>
    <t xml:space="preserve">Гуманитарные технологии формирования общественного сознания </t>
  </si>
  <si>
    <t xml:space="preserve">Финансово-инвестиционные модели государственного и негосударственного социального обеспечения </t>
  </si>
  <si>
    <t>Развитие системы налогового стимулирования  экономического роста в РФ</t>
  </si>
  <si>
    <t>Стратегическое управление социально-экономическим развитием и обеспечение национальной безопасности в условиях глобальных рисков</t>
  </si>
  <si>
    <t>4.            "Во вкладке "Работы" заполняются данные по видам работ.</t>
  </si>
  <si>
    <t>·              Далее заполняются данные по подвидам работ.</t>
  </si>
  <si>
    <t>3. Работы (ПЕЧАТЬ)</t>
  </si>
  <si>
    <t>1023032300245-9-5.2.1</t>
  </si>
  <si>
    <t>Институт финансовых исследований Финансового факультета</t>
  </si>
  <si>
    <t>Литвин Валерия Викторовна</t>
  </si>
  <si>
    <t>1023032300339-7-5.2.4</t>
  </si>
  <si>
    <t>Институт управленческих исследований и консалтинга Факультета "Высшая школа управления"</t>
  </si>
  <si>
    <t>Карпова Светлана Васильевна</t>
  </si>
  <si>
    <t>1023032300369-8-5.2.1</t>
  </si>
  <si>
    <t xml:space="preserve">Институт исследований социально-экономических трансформаций и финансовой политики </t>
  </si>
  <si>
    <t>Понкратов Вадим Витальевич</t>
  </si>
  <si>
    <t>1023032400147-5-5.2.1</t>
  </si>
  <si>
    <t>1023032400153-6-5.2.1</t>
  </si>
  <si>
    <t>Центр научных исследований и стратегического консалтинга Факультета налогов, аудита и бизнес-анализа</t>
  </si>
  <si>
    <t>Грундел Лариса Петровна</t>
  </si>
  <si>
    <t>1023032400188-2-5.2.1</t>
  </si>
  <si>
    <t>Научно-исследовательский центр развития государственной пенсионной системы и актуарно-статистического анализа</t>
  </si>
  <si>
    <t>Соловьев Аркадий Константинович</t>
  </si>
  <si>
    <t>1023032700158-2-5.2.1;5.7.2</t>
  </si>
  <si>
    <t>Институт региональной экономики и межбюджетных отношений</t>
  </si>
  <si>
    <t>Строев Павел Викторович</t>
  </si>
  <si>
    <t>1023032700254-5-5.2.1</t>
  </si>
  <si>
    <t>Институт экономической политики и проблем экономической безопасности Факультета экономики и бизнеса</t>
  </si>
  <si>
    <t>Сильвестров Сергей Николаевич</t>
  </si>
  <si>
    <t>1023032700294-3-5.2.1</t>
  </si>
  <si>
    <t>1023052300008-4-5.2.1</t>
  </si>
  <si>
    <t>1023032700353-5-5.2.1</t>
  </si>
  <si>
    <t>1023032700378-4-5.2.1</t>
  </si>
  <si>
    <t>1023032700447-3-5.2.1</t>
  </si>
  <si>
    <t>1023032700458-9-5.6.1;5.6.2</t>
  </si>
  <si>
    <t>Центр политических исследований Института гуманитарных технологий и социального инжиниринга Факультета социальных наук и массовых коммуникаций</t>
  </si>
  <si>
    <t>Домбровская Анна Юрьевна</t>
  </si>
  <si>
    <t>1023032700489-9-5.2.1</t>
  </si>
  <si>
    <t>Институт финансово-промышленной политики</t>
  </si>
  <si>
    <t>Абдикеев Нияз Мустякимович</t>
  </si>
  <si>
    <t>1023032700521-4-5.2.1</t>
  </si>
  <si>
    <t>1023032400455-1-5.2.1</t>
  </si>
  <si>
    <t>1023032700534-8-5.2.4</t>
  </si>
  <si>
    <t>1023032800084-5-5.2.1</t>
  </si>
  <si>
    <t>1023032800114-5-5.2.1</t>
  </si>
  <si>
    <t>1023032800140-0-5.2.1</t>
  </si>
  <si>
    <t>Институт глобальных исследований Факультета международных экономических отношений</t>
  </si>
  <si>
    <t>Белоконев Сергей Юрьевич</t>
  </si>
  <si>
    <t>1023032800168-6-5.2.1</t>
  </si>
  <si>
    <t>Институт исследований международных экономических отношений</t>
  </si>
  <si>
    <t>Перская Виктория Вадимовна</t>
  </si>
  <si>
    <t>1023032800287-0-5.2.1</t>
  </si>
  <si>
    <t>Центр макроэкономических исследований Института глобальных исследований Факультета международных экономических отношений</t>
  </si>
  <si>
    <t>Балацкий Евгений Всеволодович</t>
  </si>
  <si>
    <t>1023052300009-3-5.2.1</t>
  </si>
  <si>
    <t>1023032900085-1-5.2.1</t>
  </si>
  <si>
    <t>1023032900099-4-5.4.1</t>
  </si>
  <si>
    <t>Институт гуманитарных технологий и социального инжиниринга Факультета социальных наук и массовых коммуникаций</t>
  </si>
  <si>
    <t>Бродовская Елена Викторовна</t>
  </si>
  <si>
    <t>1023032900109-0-5.2.1</t>
  </si>
  <si>
    <t>1023032900144-3-5.2.1</t>
  </si>
  <si>
    <t>1023052300015-4-5.2.1</t>
  </si>
  <si>
    <t>1023032900405-1-5.2.1</t>
  </si>
  <si>
    <t>1023032900397-3-5.6.2;2.2.3</t>
  </si>
  <si>
    <t>1023032900363-6-5.2.4</t>
  </si>
  <si>
    <t>1023032900295-6-5.2.1</t>
  </si>
  <si>
    <t>1023032900255-8-5.2.1</t>
  </si>
  <si>
    <t>1023032900212-3-5.2.1</t>
  </si>
  <si>
    <t>Центр исследований и экспертиз Юридического факультета</t>
  </si>
  <si>
    <t>Вакантно</t>
  </si>
  <si>
    <t>1023032700181-0-5.2.1</t>
  </si>
  <si>
    <t>1023032900139-1-5.2.1</t>
  </si>
  <si>
    <t>1023032800358-7-5.6.1</t>
  </si>
  <si>
    <t>1023032800260-3-5.2.1</t>
  </si>
  <si>
    <t>1023032800113-6-5.2.1</t>
  </si>
  <si>
    <t>1023032300338-8-5.5.1</t>
  </si>
  <si>
    <t>1023032400358-9-5.2.4</t>
  </si>
  <si>
    <t>1023032800215-3-1.2.1</t>
  </si>
  <si>
    <t>Институт цифровых технологий Факультета информационных технологий и анализа больших данных</t>
  </si>
  <si>
    <t>Корчагин Сергей Алексеевич</t>
  </si>
  <si>
    <t>1023032900172-6-1.2.1</t>
  </si>
  <si>
    <t>1023032900206-2-5.6.1;5.6.2</t>
  </si>
  <si>
    <t>1022041100258-0-5.2.1;1.1.3</t>
  </si>
  <si>
    <t>1022041100260-5-5.2.1;5.7.3</t>
  </si>
  <si>
    <t>1022040500859-2-5.2.4</t>
  </si>
  <si>
    <t>1022041100257-1-5.2.1</t>
  </si>
  <si>
    <t>1022040500863-5-5.2.1</t>
  </si>
  <si>
    <t>1022040500870-5-5.2.1</t>
  </si>
  <si>
    <t>1022040500865-3-5.2.1</t>
  </si>
  <si>
    <t>1022040500419-8-5.3.1;5.2.4</t>
  </si>
  <si>
    <t>1022040500871-4-5.2.1</t>
  </si>
  <si>
    <t>1022040500875-0-5.4.5;5.4.1</t>
  </si>
  <si>
    <t>1022040500867-1-5.2.1</t>
  </si>
  <si>
    <t>1022040500858-3-5.2.1</t>
  </si>
  <si>
    <t>1022040500830-7-5.2.1</t>
  </si>
  <si>
    <t>1022040500873-2-5.6.2;5.6.1</t>
  </si>
  <si>
    <t>1022040500821-9-5.2.1</t>
  </si>
  <si>
    <t>1022040500883-9-5.7.3;5.2.1</t>
  </si>
  <si>
    <t>1022040500864-4-5.2.1</t>
  </si>
  <si>
    <t>1022041100255-3-5.2.1</t>
  </si>
  <si>
    <t>Институт цифровых финансов</t>
  </si>
  <si>
    <t>Дугаев Михаил Витальевич</t>
  </si>
  <si>
    <t>1022040500884-8-5.2.1</t>
  </si>
  <si>
    <t>1022041100723-9-5.2.1</t>
  </si>
  <si>
    <t>1022040500872-3-5.4.1</t>
  </si>
  <si>
    <t xml:space="preserve">	1022040500868-0-5.2.4</t>
  </si>
  <si>
    <t>Цифровизация промышленности как инструмент повышения эффективности производства</t>
  </si>
  <si>
    <t>1022040500882-0-5.2.1</t>
  </si>
  <si>
    <t>1022040500878-7-5.1.1</t>
  </si>
  <si>
    <t>5.            "Во вкладке "Трудозатраты членов ВТК" под каждое индивидуальное плановое задание определяется член ВТК.</t>
  </si>
  <si>
    <t>Внутренний номер темы</t>
  </si>
  <si>
    <t>ПИ-1</t>
  </si>
  <si>
    <t>ПИ-2</t>
  </si>
  <si>
    <t>ПИ-3</t>
  </si>
  <si>
    <t>ПИ-4</t>
  </si>
  <si>
    <t>ПИ-5</t>
  </si>
  <si>
    <t>ПИ-6</t>
  </si>
  <si>
    <t>ПИ-7</t>
  </si>
  <si>
    <t>ПИ-8</t>
  </si>
  <si>
    <t>ПИ-9</t>
  </si>
  <si>
    <t>ПИ-10</t>
  </si>
  <si>
    <t>ПИ-11</t>
  </si>
  <si>
    <t>ПИ-12</t>
  </si>
  <si>
    <t>ПИ-13</t>
  </si>
  <si>
    <t>ПИ-14</t>
  </si>
  <si>
    <t>ПИ-15</t>
  </si>
  <si>
    <t>ПИ-16</t>
  </si>
  <si>
    <t>ПИ-17</t>
  </si>
  <si>
    <t>ПИ-18</t>
  </si>
  <si>
    <t>ПИ-19</t>
  </si>
  <si>
    <t>ПИ-20</t>
  </si>
  <si>
    <t>ПИ-21</t>
  </si>
  <si>
    <t>ПИ-22</t>
  </si>
  <si>
    <t>ПИ-23</t>
  </si>
  <si>
    <t>ПИ-24</t>
  </si>
  <si>
    <t>ПИ-25</t>
  </si>
  <si>
    <t>ПИ-26</t>
  </si>
  <si>
    <t>ПИ-27</t>
  </si>
  <si>
    <t>ПИ-28</t>
  </si>
  <si>
    <t>ПИ-29</t>
  </si>
  <si>
    <t>ПИ-30</t>
  </si>
  <si>
    <t>ПИ-31</t>
  </si>
  <si>
    <t>ПИ-32</t>
  </si>
  <si>
    <t>ПИ-33</t>
  </si>
  <si>
    <t>ПИ-34</t>
  </si>
  <si>
    <t>ПИ-35</t>
  </si>
  <si>
    <t>ПИ-36</t>
  </si>
  <si>
    <t>ПИ-37</t>
  </si>
  <si>
    <t>ПИ-38</t>
  </si>
  <si>
    <t>ПИ-39</t>
  </si>
  <si>
    <t>ПИ-40</t>
  </si>
  <si>
    <t>ПИ-41</t>
  </si>
  <si>
    <t>ФИ-1</t>
  </si>
  <si>
    <t>ФИ-2</t>
  </si>
  <si>
    <t>ФИ-3</t>
  </si>
  <si>
    <t>ФИ-4</t>
  </si>
  <si>
    <t>ФИ-5</t>
  </si>
  <si>
    <t>ФИ-6</t>
  </si>
  <si>
    <t>ФИ-7</t>
  </si>
  <si>
    <t>ФИ-8</t>
  </si>
  <si>
    <t>ФИ-9</t>
  </si>
  <si>
    <t>ФИ-10</t>
  </si>
  <si>
    <t>ФИ-11</t>
  </si>
  <si>
    <t>ФИ-12</t>
  </si>
  <si>
    <t>ФИ-13</t>
  </si>
  <si>
    <t>ФИ-14</t>
  </si>
  <si>
    <t>ФИ-15</t>
  </si>
  <si>
    <t>ФИ-16</t>
  </si>
  <si>
    <t>ФИ-17</t>
  </si>
  <si>
    <t>ФИ-18</t>
  </si>
  <si>
    <t>ФИ-19</t>
  </si>
  <si>
    <t>ФИ-20</t>
  </si>
  <si>
    <t>ФИ-21</t>
  </si>
  <si>
    <t>ФИ-22</t>
  </si>
  <si>
    <t>ФИ-23</t>
  </si>
  <si>
    <t>ФИ-24</t>
  </si>
  <si>
    <t>ФИ-25</t>
  </si>
  <si>
    <t>ФИ-26</t>
  </si>
  <si>
    <t>ФИ-27</t>
  </si>
  <si>
    <t>ФИ-28</t>
  </si>
  <si>
    <t>·              В столбцах L, M "Период работы в составе ВТК" прописываете период работы члена ВТК по данной теме (в формате даты, например в столбце М "01.01.2023", в столбце N "31.10.2023").</t>
  </si>
  <si>
    <t>Не пишите большой текст в наименовании работ либо заданий, так как формулы excel не могут посчитать если в ячейке более 255 значений (проверка значений выведена в столбцах F и G). Так же если у Вас наименование заданий повторяется (одинаковое для нескольких работ), то требуется их различить, чтоб excel смог посчитать верно (можете в название работ добавить пункт раздела).</t>
  </si>
  <si>
    <t>11.       Во вкладке "Премирование ПЕЧАТЬ" в строке 9 необходимо выбрать период, за который вы подаете данные. Данные подтягиваются из вкладки "Премирование". Сроки предоставления указаны в пункте 3.4 Положения "О премировании работников, участвующих в выполнении фундаментальных и прикладных научно-исследовательских работ по государственному заданию, а также обеспечивающих их организационно-техническое сопровождение», утвержденного приказом Финуниверситета от 09.06.2023 № 1589/о.</t>
  </si>
  <si>
    <r>
      <t xml:space="preserve">3.                 Во вкладке «Работы» добавляем строчку с индивидуальным плановым заданием, которое выполнял увольняемый член ВТК с отличительным наименованием (например, дописываем в задании Иванов П. С. (увольнение)), в столбце D «Трудозатраты» отражаете высвободившиеся трудозатраты (из вкладки «Состав ВТК» столбец Т) </t>
    </r>
    <r>
      <rPr>
        <b/>
        <sz val="12"/>
        <color theme="1"/>
        <rFont val="Times New Roman"/>
        <family val="1"/>
        <charset val="204"/>
      </rPr>
      <t>со знаком минус</t>
    </r>
    <r>
      <rPr>
        <sz val="11"/>
        <color theme="1"/>
        <rFont val="Times New Roman"/>
        <family val="1"/>
        <charset val="204"/>
      </rPr>
      <t>.</t>
    </r>
  </si>
  <si>
    <t>4.                 Во вкладке «Трудозатраты членов ВТК» в столбце С выбираете индивидуальное плановое задание, которое вы занесли по пункту 3, в столбце D выбираете ФИО, которое вы занесли по пункту 2.</t>
  </si>
  <si>
    <r>
      <t xml:space="preserve">3.                 Во вкладке «Работы» добавляем строчку с индивидуальным плановым заданием, которое выполняет член ВТК с отличительным наименованием (например, дописываем в задании Петров И.О. (перевод)), в столбце D «Трудозатраты» отражаете высвободившиеся трудозатраты (из вкладки «Состав ВТК» столбец Т) </t>
    </r>
    <r>
      <rPr>
        <b/>
        <sz val="12"/>
        <color theme="1"/>
        <rFont val="Times New Roman"/>
        <family val="1"/>
        <charset val="204"/>
      </rPr>
      <t>со знаком минус</t>
    </r>
    <r>
      <rPr>
        <sz val="11"/>
        <color theme="1"/>
        <rFont val="Times New Roman"/>
        <family val="1"/>
        <charset val="204"/>
      </rPr>
      <t>.</t>
    </r>
  </si>
  <si>
    <r>
      <t xml:space="preserve">Далее добавляете строчку с новым индивидуальным плановым заданием, которое высвободилось у увольняемого члена ВТК (например, у уволенного Иванова П.С. описанного в предыдущем разделе) с отличительным наименованием (например, дописываем в задании Петров И.О. (перевод)), в столбце D «Трудозатраты» отражаете высвободившиеся трудозатраты (из вкладки «Состав ВТК» столбец Т) </t>
    </r>
    <r>
      <rPr>
        <b/>
        <sz val="12"/>
        <color theme="1"/>
        <rFont val="Times New Roman"/>
        <family val="1"/>
        <charset val="204"/>
      </rPr>
      <t>со знаком плюс</t>
    </r>
    <r>
      <rPr>
        <sz val="11"/>
        <color theme="1"/>
        <rFont val="Times New Roman"/>
        <family val="1"/>
        <charset val="204"/>
      </rPr>
      <t>.</t>
    </r>
  </si>
  <si>
    <t>4.                 Во вкладке «Трудозатраты членов ВТК» в столбце С выбираете индивидуальные плановые задания, которое вы занесли по пункту 3, в столбце D выбираете ФИО, которое вы занесли по пункту 2.</t>
  </si>
  <si>
    <t>Расчет премий для вкладки "Выплаты"</t>
  </si>
  <si>
    <t>период</t>
  </si>
  <si>
    <t>квартал</t>
  </si>
  <si>
    <t>Общая сумма на весь период</t>
  </si>
  <si>
    <t>оклад+интенсив</t>
  </si>
  <si>
    <t>премии, в т.ч.</t>
  </si>
  <si>
    <t>Дата</t>
  </si>
  <si>
    <t>квартальные, в т.ч.</t>
  </si>
  <si>
    <t>Отчисления в фонды, в том числе:</t>
  </si>
  <si>
    <r>
      <t xml:space="preserve">В столбцах L и M "Изменения периода работы в составе ВТК" указываете период который член ВТК </t>
    </r>
    <r>
      <rPr>
        <b/>
        <sz val="12"/>
        <color theme="1"/>
        <rFont val="Times New Roman"/>
        <family val="1"/>
        <charset val="204"/>
      </rPr>
      <t>не отработал</t>
    </r>
    <r>
      <rPr>
        <sz val="11"/>
        <color theme="1"/>
        <rFont val="Times New Roman"/>
        <family val="1"/>
        <charset val="204"/>
      </rPr>
      <t xml:space="preserve"> (например, планировалось что он проработает с 01.01.2023 по 29.12.2023, но он увольняется из темы с 25.04.2023, значит вы должны отразить период с 26.04.2023 по 29.12.2023).</t>
    </r>
  </si>
  <si>
    <r>
      <t xml:space="preserve">В столбцах M и L "Изменения периода работы в составе ВТК" указываете период который член ВТК </t>
    </r>
    <r>
      <rPr>
        <b/>
        <sz val="12"/>
        <color theme="1"/>
        <rFont val="Times New Roman"/>
        <family val="1"/>
        <charset val="204"/>
      </rPr>
      <t>не отработал</t>
    </r>
    <r>
      <rPr>
        <sz val="11"/>
        <color theme="1"/>
        <rFont val="Times New Roman"/>
        <family val="1"/>
        <charset val="204"/>
      </rPr>
      <t xml:space="preserve"> на ставке (например, планировалось что он проработает с 01.01.2023 по 29.12.2023, но он переводится на другой размер ставки с 25.04.2023, значит вы должны отразить период с 26.04.2023 по 29.12.2023).</t>
    </r>
  </si>
  <si>
    <t>________________                                       Голев М.А.</t>
  </si>
  <si>
    <t>Головачев Е.В.</t>
  </si>
  <si>
    <t>Голев М. А.</t>
  </si>
  <si>
    <t>Г. И. Елисеева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</si>
</sst>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0.0"/>
    <numFmt numFmtId="165" formatCode="#,##0.0"/>
    <numFmt numFmtId="166" formatCode="#,##0.00_ ;[Red]\-#,##0.00\ "/>
    <numFmt numFmtId="167" formatCode="[$-419]mmmm\ yyyy;@"/>
    <numFmt numFmtId="168" formatCode="0.000"/>
    <numFmt numFmtId="169" formatCode="0.0%"/>
    <numFmt numFmtId="170" formatCode="#,##0.0_ ;[Red]\-#,##0.0\ "/>
    <numFmt numFmtId="171" formatCode="0.00_ ;[Red]\-0.00\ "/>
    <numFmt numFmtId="172" formatCode="0.0000_ ;[Red]\-0.0000\ "/>
    <numFmt numFmtId="173" formatCode="0.0000"/>
    <numFmt numFmtId="174" formatCode="0.000%"/>
    <numFmt numFmtId="175" formatCode="#\ ##0.00"/>
  </numFmts>
  <fonts count="5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9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rgb="FFC00000"/>
      </bottom>
      <diagonal/>
    </border>
    <border>
      <left style="mediumDashDotDot">
        <color rgb="FFC00000"/>
      </left>
      <right style="mediumDashDotDot">
        <color rgb="FFC00000"/>
      </right>
      <top style="mediumDashDotDot">
        <color rgb="FFC00000"/>
      </top>
      <bottom style="mediumDashDotDot">
        <color rgb="FFC00000"/>
      </bottom>
      <diagonal/>
    </border>
    <border>
      <left/>
      <right style="mediumDashDotDot">
        <color rgb="FFC00000"/>
      </right>
      <top/>
      <bottom/>
      <diagonal/>
    </border>
    <border>
      <left/>
      <right style="mediumDashDotDot">
        <color rgb="FFC00000"/>
      </right>
      <top/>
      <bottom style="mediumDashDotDot">
        <color rgb="FFC00000"/>
      </bottom>
      <diagonal/>
    </border>
    <border>
      <left style="mediumDashDotDot">
        <color rgb="FFC00000"/>
      </left>
      <right/>
      <top/>
      <bottom/>
      <diagonal/>
    </border>
    <border>
      <left style="mediumDashDotDot">
        <color rgb="FFC00000"/>
      </left>
      <right/>
      <top/>
      <bottom style="mediumDashDotDot">
        <color rgb="FFC00000"/>
      </bottom>
      <diagonal/>
    </border>
    <border>
      <left style="mediumDashDotDot">
        <color rgb="FFC00000"/>
      </left>
      <right/>
      <top style="mediumDashDotDot">
        <color rgb="FFC00000"/>
      </top>
      <bottom/>
      <diagonal/>
    </border>
    <border>
      <left/>
      <right/>
      <top style="mediumDashDotDot">
        <color rgb="FFC00000"/>
      </top>
      <bottom/>
      <diagonal/>
    </border>
    <border>
      <left/>
      <right style="mediumDashDotDot">
        <color rgb="FFC00000"/>
      </right>
      <top style="mediumDashDotDot">
        <color rgb="FFC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016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0" xfId="0" applyFont="1"/>
    <xf numFmtId="0" fontId="15" fillId="9" borderId="0" xfId="0" applyFont="1" applyFill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 indent="2"/>
      <protection locked="0"/>
    </xf>
    <xf numFmtId="0" fontId="7" fillId="0" borderId="0" xfId="0" applyFont="1" applyAlignment="1" applyProtection="1">
      <alignment horizontal="left" indent="3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4" fontId="1" fillId="0" borderId="6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61" xfId="0" applyNumberFormat="1" applyFont="1" applyBorder="1" applyAlignment="1">
      <alignment horizontal="center" vertical="center" wrapText="1"/>
    </xf>
    <xf numFmtId="0" fontId="2" fillId="13" borderId="52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15" borderId="0" xfId="0" applyFont="1" applyFill="1" applyAlignment="1">
      <alignment horizontal="right"/>
    </xf>
    <xf numFmtId="0" fontId="1" fillId="0" borderId="37" xfId="0" applyFont="1" applyBorder="1" applyAlignment="1">
      <alignment horizontal="left" vertical="center" wrapText="1"/>
    </xf>
    <xf numFmtId="4" fontId="1" fillId="0" borderId="80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6" fillId="0" borderId="0" xfId="0" applyFont="1"/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14" borderId="48" xfId="0" applyFont="1" applyFill="1" applyBorder="1" applyAlignment="1">
      <alignment horizontal="center" vertical="center"/>
    </xf>
    <xf numFmtId="0" fontId="1" fillId="14" borderId="49" xfId="0" applyFont="1" applyFill="1" applyBorder="1" applyAlignment="1">
      <alignment horizontal="left" vertical="center" wrapText="1"/>
    </xf>
    <xf numFmtId="4" fontId="1" fillId="14" borderId="58" xfId="0" applyNumberFormat="1" applyFont="1" applyFill="1" applyBorder="1" applyAlignment="1">
      <alignment horizontal="center" vertical="center" wrapText="1"/>
    </xf>
    <xf numFmtId="9" fontId="7" fillId="0" borderId="0" xfId="2" applyFont="1"/>
    <xf numFmtId="9" fontId="7" fillId="0" borderId="0" xfId="2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left" vertical="center" wrapText="1"/>
    </xf>
    <xf numFmtId="4" fontId="1" fillId="14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39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8" fillId="2" borderId="1" xfId="0" applyFont="1" applyFill="1" applyBorder="1" applyAlignment="1" applyProtection="1">
      <alignment horizontal="justify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7" fillId="0" borderId="26" xfId="0" applyFont="1" applyBorder="1"/>
    <xf numFmtId="0" fontId="7" fillId="0" borderId="27" xfId="0" applyFont="1" applyBorder="1"/>
    <xf numFmtId="0" fontId="16" fillId="0" borderId="28" xfId="0" applyFont="1" applyBorder="1"/>
    <xf numFmtId="0" fontId="16" fillId="0" borderId="0" xfId="0" applyFont="1"/>
    <xf numFmtId="0" fontId="16" fillId="0" borderId="29" xfId="0" applyFont="1" applyBorder="1"/>
    <xf numFmtId="0" fontId="16" fillId="0" borderId="88" xfId="0" applyFont="1" applyBorder="1"/>
    <xf numFmtId="0" fontId="16" fillId="0" borderId="9" xfId="0" applyFont="1" applyBorder="1"/>
    <xf numFmtId="0" fontId="16" fillId="0" borderId="89" xfId="0" applyFont="1" applyBorder="1"/>
    <xf numFmtId="0" fontId="8" fillId="0" borderId="0" xfId="0" applyFont="1" applyAlignment="1" applyProtection="1">
      <alignment horizontal="justify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/>
    </xf>
    <xf numFmtId="0" fontId="19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righ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9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justify" vertical="center" wrapText="1"/>
      <protection locked="0"/>
    </xf>
    <xf numFmtId="0" fontId="16" fillId="0" borderId="1" xfId="0" applyFont="1" applyBorder="1" applyAlignment="1">
      <alignment horizontal="justify" vertical="center" wrapText="1"/>
    </xf>
    <xf numFmtId="4" fontId="16" fillId="5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justify" vertical="center" wrapText="1"/>
      <protection locked="0"/>
    </xf>
    <xf numFmtId="4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16" fillId="0" borderId="28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29" xfId="0" applyFont="1" applyBorder="1" applyProtection="1">
      <protection locked="0"/>
    </xf>
    <xf numFmtId="0" fontId="16" fillId="0" borderId="88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89" xfId="0" applyFont="1" applyBorder="1" applyProtection="1">
      <protection locked="0"/>
    </xf>
    <xf numFmtId="0" fontId="17" fillId="0" borderId="1" xfId="0" applyFont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17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17" borderId="1" xfId="0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7" fillId="0" borderId="89" xfId="0" applyFont="1" applyBorder="1" applyProtection="1">
      <protection locked="0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wrapText="1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52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171" fontId="8" fillId="0" borderId="0" xfId="0" applyNumberFormat="1" applyFont="1" applyProtection="1">
      <protection locked="0"/>
    </xf>
    <xf numFmtId="17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71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71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71" fontId="8" fillId="0" borderId="1" xfId="0" applyNumberFormat="1" applyFont="1" applyBorder="1" applyProtection="1">
      <protection locked="0"/>
    </xf>
    <xf numFmtId="171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17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1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71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vertical="center" wrapText="1"/>
    </xf>
    <xf numFmtId="0" fontId="11" fillId="0" borderId="2" xfId="1" applyFont="1" applyBorder="1" applyAlignment="1" applyProtection="1">
      <alignment horizontal="left" vertical="center" wrapText="1" indent="2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8" fillId="20" borderId="113" xfId="0" applyFont="1" applyFill="1" applyBorder="1" applyAlignment="1">
      <alignment horizontal="center" vertical="center" wrapText="1"/>
    </xf>
    <xf numFmtId="0" fontId="48" fillId="20" borderId="0" xfId="0" applyFont="1" applyFill="1" applyAlignment="1">
      <alignment horizontal="center" vertical="center" wrapText="1"/>
    </xf>
    <xf numFmtId="0" fontId="48" fillId="20" borderId="114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7" fillId="3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9" fillId="10" borderId="1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1" fillId="0" borderId="7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5" fillId="0" borderId="0" xfId="0" applyFont="1"/>
    <xf numFmtId="0" fontId="50" fillId="0" borderId="10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60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0" borderId="61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50" fillId="0" borderId="5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6" borderId="1" xfId="0" applyFont="1" applyFill="1" applyBorder="1"/>
    <xf numFmtId="166" fontId="25" fillId="6" borderId="1" xfId="0" applyNumberFormat="1" applyFont="1" applyFill="1" applyBorder="1"/>
    <xf numFmtId="4" fontId="2" fillId="0" borderId="36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0" xfId="0" applyFon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43" xfId="2" applyFont="1" applyFill="1" applyBorder="1" applyAlignment="1" applyProtection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9" fontId="7" fillId="0" borderId="1" xfId="2" applyFont="1" applyBorder="1" applyAlignment="1" applyProtection="1">
      <alignment horizontal="center"/>
    </xf>
    <xf numFmtId="9" fontId="7" fillId="0" borderId="0" xfId="2" applyFont="1" applyBorder="1" applyAlignment="1" applyProtection="1">
      <alignment horizontal="center"/>
    </xf>
    <xf numFmtId="9" fontId="7" fillId="0" borderId="3" xfId="2" applyFont="1" applyBorder="1" applyProtection="1"/>
    <xf numFmtId="169" fontId="4" fillId="0" borderId="76" xfId="0" applyNumberFormat="1" applyFont="1" applyBorder="1" applyAlignment="1">
      <alignment horizontal="center" vertical="center"/>
    </xf>
    <xf numFmtId="169" fontId="33" fillId="10" borderId="77" xfId="2" applyNumberFormat="1" applyFont="1" applyFill="1" applyBorder="1" applyAlignment="1" applyProtection="1">
      <alignment vertical="center"/>
    </xf>
    <xf numFmtId="169" fontId="33" fillId="10" borderId="78" xfId="2" applyNumberFormat="1" applyFont="1" applyFill="1" applyBorder="1" applyAlignment="1" applyProtection="1">
      <alignment vertical="center"/>
    </xf>
    <xf numFmtId="9" fontId="7" fillId="0" borderId="67" xfId="2" applyFont="1" applyFill="1" applyBorder="1" applyAlignment="1" applyProtection="1">
      <alignment horizontal="center"/>
    </xf>
    <xf numFmtId="9" fontId="7" fillId="0" borderId="0" xfId="2" applyFont="1" applyProtection="1"/>
    <xf numFmtId="0" fontId="1" fillId="0" borderId="0" xfId="0" applyFont="1"/>
    <xf numFmtId="9" fontId="7" fillId="0" borderId="66" xfId="2" applyFont="1" applyFill="1" applyBorder="1" applyAlignment="1" applyProtection="1">
      <alignment horizontal="center"/>
    </xf>
    <xf numFmtId="0" fontId="19" fillId="12" borderId="1" xfId="0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7" fillId="0" borderId="2" xfId="0" applyFont="1" applyBorder="1"/>
    <xf numFmtId="0" fontId="7" fillId="0" borderId="48" xfId="0" applyFont="1" applyBorder="1"/>
    <xf numFmtId="9" fontId="7" fillId="0" borderId="44" xfId="0" applyNumberFormat="1" applyFont="1" applyBorder="1"/>
    <xf numFmtId="9" fontId="7" fillId="0" borderId="17" xfId="0" applyNumberFormat="1" applyFont="1" applyBorder="1"/>
    <xf numFmtId="4" fontId="6" fillId="0" borderId="3" xfId="0" applyNumberFormat="1" applyFont="1" applyBorder="1"/>
    <xf numFmtId="166" fontId="16" fillId="10" borderId="1" xfId="0" applyNumberFormat="1" applyFont="1" applyFill="1" applyBorder="1" applyAlignment="1">
      <alignment horizontal="center" vertical="center"/>
    </xf>
    <xf numFmtId="166" fontId="19" fillId="12" borderId="1" xfId="0" applyNumberFormat="1" applyFont="1" applyFill="1" applyBorder="1" applyAlignment="1">
      <alignment horizontal="center" vertical="center"/>
    </xf>
    <xf numFmtId="0" fontId="13" fillId="10" borderId="0" xfId="0" applyFont="1" applyFill="1"/>
    <xf numFmtId="0" fontId="16" fillId="10" borderId="0" xfId="0" applyFont="1" applyFill="1"/>
    <xf numFmtId="0" fontId="28" fillId="10" borderId="0" xfId="0" applyFont="1" applyFill="1" applyAlignment="1">
      <alignment horizontal="right" wrapText="1"/>
    </xf>
    <xf numFmtId="0" fontId="6" fillId="10" borderId="0" xfId="0" applyFont="1" applyFill="1" applyAlignment="1">
      <alignment wrapText="1"/>
    </xf>
    <xf numFmtId="0" fontId="7" fillId="10" borderId="0" xfId="0" applyFont="1" applyFill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6" fontId="4" fillId="12" borderId="80" xfId="0" applyNumberFormat="1" applyFont="1" applyFill="1" applyBorder="1" applyAlignment="1">
      <alignment horizontal="center" vertical="center"/>
    </xf>
    <xf numFmtId="166" fontId="19" fillId="12" borderId="33" xfId="0" applyNumberFormat="1" applyFont="1" applyFill="1" applyBorder="1" applyAlignment="1">
      <alignment horizontal="center" vertical="center"/>
    </xf>
    <xf numFmtId="166" fontId="16" fillId="12" borderId="5" xfId="0" applyNumberFormat="1" applyFont="1" applyFill="1" applyBorder="1" applyAlignment="1">
      <alignment horizontal="center" vertical="center"/>
    </xf>
    <xf numFmtId="166" fontId="16" fillId="12" borderId="37" xfId="0" applyNumberFormat="1" applyFont="1" applyFill="1" applyBorder="1" applyAlignment="1">
      <alignment horizontal="center" vertical="center"/>
    </xf>
    <xf numFmtId="166" fontId="16" fillId="12" borderId="80" xfId="0" applyNumberFormat="1" applyFont="1" applyFill="1" applyBorder="1" applyAlignment="1">
      <alignment horizontal="center" vertical="center"/>
    </xf>
    <xf numFmtId="166" fontId="31" fillId="12" borderId="93" xfId="0" applyNumberFormat="1" applyFont="1" applyFill="1" applyBorder="1" applyAlignment="1">
      <alignment vertical="center" wrapText="1"/>
    </xf>
    <xf numFmtId="166" fontId="30" fillId="12" borderId="90" xfId="0" applyNumberFormat="1" applyFont="1" applyFill="1" applyBorder="1" applyAlignment="1">
      <alignment horizontal="center" vertical="center"/>
    </xf>
    <xf numFmtId="166" fontId="30" fillId="12" borderId="4" xfId="0" applyNumberFormat="1" applyFont="1" applyFill="1" applyBorder="1" applyAlignment="1">
      <alignment horizontal="center" vertical="center"/>
    </xf>
    <xf numFmtId="166" fontId="30" fillId="12" borderId="79" xfId="0" applyNumberFormat="1" applyFont="1" applyFill="1" applyBorder="1" applyAlignment="1">
      <alignment horizontal="center" vertical="center"/>
    </xf>
    <xf numFmtId="166" fontId="30" fillId="12" borderId="93" xfId="0" applyNumberFormat="1" applyFont="1" applyFill="1" applyBorder="1" applyAlignment="1">
      <alignment horizontal="center" vertical="center"/>
    </xf>
    <xf numFmtId="0" fontId="29" fillId="0" borderId="0" xfId="0" applyFont="1"/>
    <xf numFmtId="166" fontId="7" fillId="5" borderId="52" xfId="0" applyNumberFormat="1" applyFont="1" applyFill="1" applyBorder="1" applyAlignment="1">
      <alignment vertical="center" wrapText="1"/>
    </xf>
    <xf numFmtId="166" fontId="16" fillId="5" borderId="91" xfId="0" applyNumberFormat="1" applyFont="1" applyFill="1" applyBorder="1" applyAlignment="1">
      <alignment horizontal="center" vertical="center"/>
    </xf>
    <xf numFmtId="166" fontId="16" fillId="5" borderId="23" xfId="0" applyNumberFormat="1" applyFont="1" applyFill="1" applyBorder="1" applyAlignment="1">
      <alignment horizontal="center" vertical="center"/>
    </xf>
    <xf numFmtId="166" fontId="16" fillId="5" borderId="63" xfId="0" applyNumberFormat="1" applyFont="1" applyFill="1" applyBorder="1" applyAlignment="1">
      <alignment horizontal="center" vertical="center"/>
    </xf>
    <xf numFmtId="166" fontId="16" fillId="5" borderId="52" xfId="0" applyNumberFormat="1" applyFont="1" applyFill="1" applyBorder="1" applyAlignment="1">
      <alignment horizontal="center" vertical="center"/>
    </xf>
    <xf numFmtId="9" fontId="7" fillId="14" borderId="4" xfId="0" applyNumberFormat="1" applyFont="1" applyFill="1" applyBorder="1" applyAlignment="1">
      <alignment horizontal="center" vertical="center" wrapText="1"/>
    </xf>
    <xf numFmtId="9" fontId="7" fillId="14" borderId="47" xfId="0" applyNumberFormat="1" applyFont="1" applyFill="1" applyBorder="1" applyAlignment="1">
      <alignment horizontal="center" vertical="center"/>
    </xf>
    <xf numFmtId="166" fontId="16" fillId="5" borderId="22" xfId="0" applyNumberFormat="1" applyFont="1" applyFill="1" applyBorder="1" applyAlignment="1">
      <alignment horizontal="center" vertical="center"/>
    </xf>
    <xf numFmtId="9" fontId="16" fillId="5" borderId="23" xfId="2" applyFont="1" applyFill="1" applyBorder="1" applyAlignment="1" applyProtection="1">
      <alignment horizontal="center" vertical="center"/>
    </xf>
    <xf numFmtId="9" fontId="16" fillId="5" borderId="24" xfId="2" applyFont="1" applyFill="1" applyBorder="1" applyAlignment="1" applyProtection="1">
      <alignment horizontal="center" vertical="center"/>
    </xf>
    <xf numFmtId="166" fontId="6" fillId="0" borderId="60" xfId="0" applyNumberFormat="1" applyFont="1" applyBorder="1" applyAlignment="1">
      <alignment vertical="center" wrapText="1"/>
    </xf>
    <xf numFmtId="166" fontId="19" fillId="10" borderId="56" xfId="0" applyNumberFormat="1" applyFont="1" applyFill="1" applyBorder="1" applyAlignment="1">
      <alignment horizontal="center" vertical="center"/>
    </xf>
    <xf numFmtId="166" fontId="19" fillId="10" borderId="11" xfId="0" applyNumberFormat="1" applyFont="1" applyFill="1" applyBorder="1" applyAlignment="1">
      <alignment horizontal="center" vertical="center"/>
    </xf>
    <xf numFmtId="166" fontId="19" fillId="10" borderId="41" xfId="0" applyNumberFormat="1" applyFont="1" applyFill="1" applyBorder="1" applyAlignment="1">
      <alignment horizontal="center" vertical="center"/>
    </xf>
    <xf numFmtId="166" fontId="19" fillId="10" borderId="60" xfId="0" applyNumberFormat="1" applyFont="1" applyFill="1" applyBorder="1" applyAlignment="1">
      <alignment horizontal="center" vertical="center"/>
    </xf>
    <xf numFmtId="166" fontId="19" fillId="10" borderId="12" xfId="0" applyNumberFormat="1" applyFont="1" applyFill="1" applyBorder="1" applyAlignment="1">
      <alignment horizontal="center" vertical="center"/>
    </xf>
    <xf numFmtId="166" fontId="19" fillId="10" borderId="10" xfId="0" applyNumberFormat="1" applyFont="1" applyFill="1" applyBorder="1" applyAlignment="1">
      <alignment horizontal="center" vertical="center"/>
    </xf>
    <xf numFmtId="166" fontId="6" fillId="0" borderId="0" xfId="0" applyNumberFormat="1" applyFont="1"/>
    <xf numFmtId="166" fontId="31" fillId="0" borderId="61" xfId="0" applyNumberFormat="1" applyFont="1" applyBorder="1" applyAlignment="1">
      <alignment vertical="center" wrapText="1"/>
    </xf>
    <xf numFmtId="166" fontId="30" fillId="0" borderId="57" xfId="0" applyNumberFormat="1" applyFont="1" applyBorder="1" applyAlignment="1">
      <alignment horizontal="center" vertical="center"/>
    </xf>
    <xf numFmtId="166" fontId="30" fillId="0" borderId="16" xfId="0" applyNumberFormat="1" applyFont="1" applyBorder="1" applyAlignment="1">
      <alignment horizontal="center" vertical="center"/>
    </xf>
    <xf numFmtId="166" fontId="30" fillId="0" borderId="59" xfId="0" applyNumberFormat="1" applyFont="1" applyBorder="1" applyAlignment="1">
      <alignment horizontal="center" vertical="center"/>
    </xf>
    <xf numFmtId="166" fontId="30" fillId="0" borderId="61" xfId="0" applyNumberFormat="1" applyFont="1" applyBorder="1" applyAlignment="1">
      <alignment horizontal="center" vertical="center"/>
    </xf>
    <xf numFmtId="166" fontId="30" fillId="10" borderId="57" xfId="0" applyNumberFormat="1" applyFont="1" applyFill="1" applyBorder="1" applyAlignment="1">
      <alignment horizontal="center" vertical="center"/>
    </xf>
    <xf numFmtId="166" fontId="30" fillId="10" borderId="16" xfId="0" applyNumberFormat="1" applyFont="1" applyFill="1" applyBorder="1" applyAlignment="1">
      <alignment horizontal="center" vertical="center"/>
    </xf>
    <xf numFmtId="166" fontId="30" fillId="10" borderId="17" xfId="0" applyNumberFormat="1" applyFont="1" applyFill="1" applyBorder="1" applyAlignment="1">
      <alignment horizontal="center" vertical="center"/>
    </xf>
    <xf numFmtId="166" fontId="30" fillId="0" borderId="15" xfId="0" applyNumberFormat="1" applyFont="1" applyBorder="1" applyAlignment="1">
      <alignment horizontal="center" vertical="center"/>
    </xf>
    <xf numFmtId="166" fontId="30" fillId="0" borderId="17" xfId="0" applyNumberFormat="1" applyFont="1" applyBorder="1" applyAlignment="1">
      <alignment horizontal="center" vertical="center"/>
    </xf>
    <xf numFmtId="166" fontId="32" fillId="0" borderId="0" xfId="0" applyNumberFormat="1" applyFont="1"/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60" xfId="0" applyNumberFormat="1" applyFont="1" applyBorder="1" applyAlignment="1">
      <alignment horizontal="center" vertical="center"/>
    </xf>
    <xf numFmtId="166" fontId="7" fillId="0" borderId="21" xfId="0" applyNumberFormat="1" applyFont="1" applyBorder="1"/>
    <xf numFmtId="166" fontId="7" fillId="0" borderId="37" xfId="0" applyNumberFormat="1" applyFont="1" applyBorder="1" applyAlignment="1">
      <alignment horizontal="right"/>
    </xf>
    <xf numFmtId="166" fontId="7" fillId="0" borderId="80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6" fontId="7" fillId="14" borderId="21" xfId="0" applyNumberFormat="1" applyFont="1" applyFill="1" applyBorder="1"/>
    <xf numFmtId="166" fontId="7" fillId="14" borderId="5" xfId="0" applyNumberFormat="1" applyFont="1" applyFill="1" applyBorder="1"/>
    <xf numFmtId="9" fontId="16" fillId="10" borderId="5" xfId="2" applyFont="1" applyFill="1" applyBorder="1" applyAlignment="1" applyProtection="1">
      <alignment horizontal="center" vertical="center"/>
    </xf>
    <xf numFmtId="2" fontId="7" fillId="0" borderId="8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center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 indent="3"/>
    </xf>
    <xf numFmtId="10" fontId="14" fillId="0" borderId="0" xfId="0" applyNumberFormat="1" applyFont="1"/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right" vertical="center" wrapText="1" indent="2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171" fontId="44" fillId="0" borderId="0" xfId="0" applyNumberFormat="1" applyFont="1" applyAlignment="1">
      <alignment horizontal="center" vertical="center"/>
    </xf>
    <xf numFmtId="0" fontId="7" fillId="18" borderId="0" xfId="0" applyFont="1" applyFill="1"/>
    <xf numFmtId="166" fontId="6" fillId="0" borderId="0" xfId="0" applyNumberFormat="1" applyFont="1" applyAlignment="1">
      <alignment vertical="center" wrapText="1"/>
    </xf>
    <xf numFmtId="0" fontId="6" fillId="0" borderId="85" xfId="0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/>
    </xf>
    <xf numFmtId="166" fontId="7" fillId="0" borderId="86" xfId="0" applyNumberFormat="1" applyFont="1" applyBorder="1" applyAlignment="1">
      <alignment horizontal="right"/>
    </xf>
    <xf numFmtId="171" fontId="25" fillId="11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9" fontId="33" fillId="0" borderId="0" xfId="2" applyNumberFormat="1" applyFont="1" applyFill="1" applyBorder="1" applyAlignment="1" applyProtection="1">
      <alignment vertical="center"/>
    </xf>
    <xf numFmtId="169" fontId="33" fillId="0" borderId="0" xfId="2" applyNumberFormat="1" applyFont="1" applyFill="1" applyBorder="1" applyAlignment="1" applyProtection="1">
      <alignment horizontal="center" vertical="center"/>
    </xf>
    <xf numFmtId="0" fontId="6" fillId="0" borderId="100" xfId="0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7" fillId="0" borderId="101" xfId="0" applyNumberFormat="1" applyFont="1" applyBorder="1" applyAlignment="1">
      <alignment horizontal="right"/>
    </xf>
    <xf numFmtId="0" fontId="6" fillId="0" borderId="82" xfId="0" applyFont="1" applyBorder="1" applyAlignment="1">
      <alignment horizontal="right" vertical="center"/>
    </xf>
    <xf numFmtId="166" fontId="6" fillId="0" borderId="102" xfId="0" applyNumberFormat="1" applyFont="1" applyBorder="1" applyAlignment="1">
      <alignment horizontal="right"/>
    </xf>
    <xf numFmtId="166" fontId="7" fillId="0" borderId="83" xfId="0" applyNumberFormat="1" applyFont="1" applyBorder="1" applyAlignment="1">
      <alignment horizontal="right"/>
    </xf>
    <xf numFmtId="166" fontId="7" fillId="0" borderId="84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94" xfId="0" applyFont="1" applyBorder="1" applyAlignment="1">
      <alignment horizontal="right" vertical="center"/>
    </xf>
    <xf numFmtId="9" fontId="6" fillId="0" borderId="96" xfId="2" applyFont="1" applyFill="1" applyBorder="1" applyAlignment="1" applyProtection="1">
      <alignment horizontal="right"/>
    </xf>
    <xf numFmtId="9" fontId="7" fillId="0" borderId="96" xfId="2" applyFont="1" applyFill="1" applyBorder="1" applyAlignment="1" applyProtection="1">
      <alignment horizontal="right"/>
    </xf>
    <xf numFmtId="9" fontId="7" fillId="0" borderId="97" xfId="2" applyFont="1" applyFill="1" applyBorder="1" applyAlignment="1" applyProtection="1">
      <alignment horizontal="right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left" vertical="center" wrapText="1"/>
    </xf>
    <xf numFmtId="166" fontId="4" fillId="1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/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3"/>
    </xf>
    <xf numFmtId="0" fontId="7" fillId="0" borderId="0" xfId="0" applyFont="1" applyAlignment="1">
      <alignment horizontal="left" vertical="center" wrapText="1" indent="4"/>
    </xf>
    <xf numFmtId="171" fontId="8" fillId="0" borderId="0" xfId="0" applyNumberFormat="1" applyFont="1"/>
    <xf numFmtId="171" fontId="8" fillId="0" borderId="0" xfId="0" applyNumberFormat="1" applyFont="1" applyAlignment="1">
      <alignment horizontal="right" vertical="center"/>
    </xf>
    <xf numFmtId="171" fontId="45" fillId="0" borderId="0" xfId="0" applyNumberFormat="1" applyFont="1" applyAlignment="1">
      <alignment horizontal="center" vertical="center"/>
    </xf>
    <xf numFmtId="171" fontId="8" fillId="0" borderId="112" xfId="0" applyNumberFormat="1" applyFont="1" applyBorder="1"/>
    <xf numFmtId="0" fontId="4" fillId="0" borderId="111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171" fontId="33" fillId="0" borderId="115" xfId="0" applyNumberFormat="1" applyFont="1" applyBorder="1" applyAlignment="1">
      <alignment horizontal="left" vertical="center" wrapText="1"/>
    </xf>
    <xf numFmtId="169" fontId="4" fillId="0" borderId="116" xfId="0" applyNumberFormat="1" applyFont="1" applyBorder="1" applyAlignment="1">
      <alignment horizontal="left" vertical="center" wrapText="1"/>
    </xf>
    <xf numFmtId="166" fontId="4" fillId="0" borderId="103" xfId="0" applyNumberFormat="1" applyFont="1" applyBorder="1" applyAlignment="1">
      <alignment horizontal="right"/>
    </xf>
    <xf numFmtId="166" fontId="8" fillId="0" borderId="103" xfId="0" applyNumberFormat="1" applyFont="1" applyBorder="1" applyAlignment="1">
      <alignment horizontal="right"/>
    </xf>
    <xf numFmtId="166" fontId="8" fillId="0" borderId="106" xfId="0" applyNumberFormat="1" applyFont="1" applyBorder="1" applyAlignment="1">
      <alignment horizontal="right"/>
    </xf>
    <xf numFmtId="171" fontId="25" fillId="18" borderId="0" xfId="0" applyNumberFormat="1" applyFont="1" applyFill="1" applyAlignment="1">
      <alignment horizontal="left" vertical="center"/>
    </xf>
    <xf numFmtId="171" fontId="33" fillId="0" borderId="118" xfId="0" applyNumberFormat="1" applyFont="1" applyBorder="1" applyAlignment="1">
      <alignment horizontal="left" vertical="center" wrapText="1"/>
    </xf>
    <xf numFmtId="171" fontId="8" fillId="0" borderId="119" xfId="0" applyNumberFormat="1" applyFont="1" applyBorder="1" applyAlignment="1">
      <alignment horizontal="center"/>
    </xf>
    <xf numFmtId="171" fontId="8" fillId="0" borderId="120" xfId="0" applyNumberFormat="1" applyFont="1" applyBorder="1" applyAlignment="1">
      <alignment horizontal="center"/>
    </xf>
    <xf numFmtId="166" fontId="4" fillId="0" borderId="115" xfId="0" applyNumberFormat="1" applyFont="1" applyBorder="1" applyAlignment="1">
      <alignment horizontal="left" vertical="center" wrapText="1"/>
    </xf>
    <xf numFmtId="166" fontId="4" fillId="0" borderId="104" xfId="0" applyNumberFormat="1" applyFont="1" applyBorder="1" applyAlignment="1">
      <alignment horizontal="right"/>
    </xf>
    <xf numFmtId="169" fontId="4" fillId="0" borderId="0" xfId="0" applyNumberFormat="1" applyFont="1" applyAlignment="1">
      <alignment vertical="center"/>
    </xf>
    <xf numFmtId="171" fontId="33" fillId="0" borderId="117" xfId="2" applyNumberFormat="1" applyFont="1" applyBorder="1" applyAlignment="1" applyProtection="1">
      <alignment horizontal="left" vertical="center" wrapText="1"/>
    </xf>
    <xf numFmtId="171" fontId="8" fillId="4" borderId="1" xfId="0" applyNumberFormat="1" applyFont="1" applyFill="1" applyBorder="1" applyAlignment="1">
      <alignment horizontal="center" vertical="center" wrapText="1"/>
    </xf>
    <xf numFmtId="171" fontId="4" fillId="4" borderId="1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1" fontId="4" fillId="8" borderId="1" xfId="0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left" vertical="center" wrapText="1"/>
    </xf>
    <xf numFmtId="171" fontId="4" fillId="0" borderId="1" xfId="0" applyNumberFormat="1" applyFont="1" applyBorder="1"/>
    <xf numFmtId="171" fontId="4" fillId="0" borderId="0" xfId="0" applyNumberFormat="1" applyFont="1"/>
    <xf numFmtId="171" fontId="4" fillId="3" borderId="1" xfId="0" applyNumberFormat="1" applyFont="1" applyFill="1" applyBorder="1" applyAlignment="1">
      <alignment horizontal="center" vertical="center" wrapText="1"/>
    </xf>
    <xf numFmtId="171" fontId="8" fillId="3" borderId="1" xfId="0" applyNumberFormat="1" applyFont="1" applyFill="1" applyBorder="1" applyAlignment="1">
      <alignment horizontal="center" vertical="center" wrapText="1"/>
    </xf>
    <xf numFmtId="171" fontId="8" fillId="8" borderId="1" xfId="0" applyNumberFormat="1" applyFont="1" applyFill="1" applyBorder="1" applyAlignment="1">
      <alignment horizontal="center" vertical="center" wrapText="1"/>
    </xf>
    <xf numFmtId="171" fontId="8" fillId="5" borderId="1" xfId="0" applyNumberFormat="1" applyFont="1" applyFill="1" applyBorder="1" applyAlignment="1">
      <alignment horizontal="center" vertical="center" wrapText="1"/>
    </xf>
    <xf numFmtId="171" fontId="8" fillId="5" borderId="1" xfId="0" applyNumberFormat="1" applyFont="1" applyFill="1" applyBorder="1" applyAlignment="1">
      <alignment horizontal="left" vertical="center" wrapText="1"/>
    </xf>
    <xf numFmtId="171" fontId="8" fillId="0" borderId="1" xfId="0" applyNumberFormat="1" applyFont="1" applyBorder="1"/>
    <xf numFmtId="171" fontId="8" fillId="21" borderId="0" xfId="0" applyNumberFormat="1" applyFont="1" applyFill="1"/>
    <xf numFmtId="171" fontId="8" fillId="0" borderId="0" xfId="0" applyNumberFormat="1" applyFont="1" applyAlignment="1">
      <alignment textRotation="90"/>
    </xf>
    <xf numFmtId="171" fontId="8" fillId="0" borderId="0" xfId="0" applyNumberFormat="1" applyFont="1" applyAlignment="1">
      <alignment horizontal="center" vertical="center" wrapText="1"/>
    </xf>
    <xf numFmtId="171" fontId="8" fillId="7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1" xfId="0" applyNumberFormat="1" applyFont="1" applyFill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9" fontId="4" fillId="0" borderId="116" xfId="0" applyNumberFormat="1" applyFont="1" applyBorder="1" applyAlignment="1">
      <alignment horizontal="center" vertical="center"/>
    </xf>
    <xf numFmtId="9" fontId="4" fillId="0" borderId="103" xfId="2" applyFont="1" applyBorder="1" applyAlignment="1" applyProtection="1">
      <alignment horizontal="center" vertical="center"/>
    </xf>
    <xf numFmtId="9" fontId="4" fillId="0" borderId="106" xfId="2" applyFont="1" applyBorder="1" applyAlignment="1" applyProtection="1">
      <alignment horizontal="center" vertical="center"/>
    </xf>
    <xf numFmtId="9" fontId="4" fillId="0" borderId="117" xfId="0" applyNumberFormat="1" applyFont="1" applyBorder="1" applyAlignment="1">
      <alignment horizontal="center" vertical="center"/>
    </xf>
    <xf numFmtId="9" fontId="33" fillId="10" borderId="107" xfId="2" applyFont="1" applyFill="1" applyBorder="1" applyAlignment="1" applyProtection="1">
      <alignment horizontal="center" vertical="center"/>
    </xf>
    <xf numFmtId="9" fontId="33" fillId="10" borderId="108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wrapText="1"/>
    </xf>
    <xf numFmtId="9" fontId="7" fillId="0" borderId="0" xfId="2" applyFont="1" applyAlignment="1" applyProtection="1">
      <alignment horizontal="center" vertical="center" wrapText="1"/>
      <protection locked="0"/>
    </xf>
    <xf numFmtId="166" fontId="7" fillId="0" borderId="127" xfId="0" applyNumberFormat="1" applyFont="1" applyBorder="1" applyAlignment="1">
      <alignment horizontal="center" vertical="center" wrapText="1"/>
    </xf>
    <xf numFmtId="166" fontId="7" fillId="0" borderId="98" xfId="0" applyNumberFormat="1" applyFont="1" applyBorder="1" applyAlignment="1">
      <alignment horizontal="center" vertical="center" wrapText="1"/>
    </xf>
    <xf numFmtId="166" fontId="7" fillId="0" borderId="99" xfId="0" applyNumberFormat="1" applyFont="1" applyBorder="1" applyAlignment="1">
      <alignment horizontal="center" vertical="center" wrapText="1"/>
    </xf>
    <xf numFmtId="166" fontId="6" fillId="0" borderId="87" xfId="0" applyNumberFormat="1" applyFont="1" applyBorder="1" applyAlignment="1">
      <alignment horizontal="center" vertical="center" wrapText="1"/>
    </xf>
    <xf numFmtId="166" fontId="6" fillId="0" borderId="127" xfId="0" applyNumberFormat="1" applyFont="1" applyBorder="1" applyAlignment="1">
      <alignment horizontal="center" vertical="center" wrapText="1"/>
    </xf>
    <xf numFmtId="166" fontId="6" fillId="0" borderId="126" xfId="0" applyNumberFormat="1" applyFont="1" applyBorder="1" applyAlignment="1">
      <alignment horizontal="center" vertical="center" wrapText="1"/>
    </xf>
    <xf numFmtId="166" fontId="1" fillId="0" borderId="0" xfId="0" applyNumberFormat="1" applyFont="1"/>
    <xf numFmtId="166" fontId="7" fillId="11" borderId="0" xfId="0" applyNumberFormat="1" applyFont="1" applyFill="1" applyAlignment="1">
      <alignment horizontal="left" vertical="center"/>
    </xf>
    <xf numFmtId="166" fontId="7" fillId="21" borderId="0" xfId="0" applyNumberFormat="1" applyFont="1" applyFill="1" applyAlignment="1">
      <alignment horizontal="left" vertical="center"/>
    </xf>
    <xf numFmtId="169" fontId="4" fillId="0" borderId="104" xfId="0" applyNumberFormat="1" applyFont="1" applyBorder="1" applyAlignment="1">
      <alignment horizontal="center"/>
    </xf>
    <xf numFmtId="171" fontId="33" fillId="0" borderId="119" xfId="0" applyNumberFormat="1" applyFont="1" applyBorder="1" applyAlignment="1">
      <alignment horizontal="center"/>
    </xf>
    <xf numFmtId="171" fontId="33" fillId="0" borderId="107" xfId="0" applyNumberFormat="1" applyFont="1" applyBorder="1" applyAlignment="1">
      <alignment horizontal="center"/>
    </xf>
    <xf numFmtId="166" fontId="4" fillId="0" borderId="105" xfId="0" applyNumberFormat="1" applyFont="1" applyBorder="1" applyAlignment="1">
      <alignment horizontal="right"/>
    </xf>
    <xf numFmtId="171" fontId="4" fillId="0" borderId="107" xfId="0" applyNumberFormat="1" applyFont="1" applyBorder="1" applyAlignment="1">
      <alignment horizontal="center"/>
    </xf>
    <xf numFmtId="171" fontId="4" fillId="0" borderId="108" xfId="0" applyNumberFormat="1" applyFont="1" applyBorder="1" applyAlignment="1">
      <alignment horizontal="center"/>
    </xf>
    <xf numFmtId="166" fontId="4" fillId="0" borderId="106" xfId="0" applyNumberFormat="1" applyFont="1" applyBorder="1" applyAlignment="1">
      <alignment horizontal="right"/>
    </xf>
    <xf numFmtId="171" fontId="4" fillId="0" borderId="119" xfId="0" applyNumberFormat="1" applyFont="1" applyBorder="1" applyAlignment="1">
      <alignment horizontal="center"/>
    </xf>
    <xf numFmtId="171" fontId="33" fillId="0" borderId="120" xfId="0" applyNumberFormat="1" applyFont="1" applyBorder="1" applyAlignment="1">
      <alignment horizontal="center"/>
    </xf>
    <xf numFmtId="169" fontId="33" fillId="10" borderId="104" xfId="2" applyNumberFormat="1" applyFont="1" applyFill="1" applyBorder="1" applyAlignment="1" applyProtection="1">
      <alignment horizontal="center"/>
    </xf>
    <xf numFmtId="169" fontId="35" fillId="10" borderId="104" xfId="2" applyNumberFormat="1" applyFont="1" applyFill="1" applyBorder="1" applyAlignment="1" applyProtection="1">
      <alignment horizontal="center"/>
    </xf>
    <xf numFmtId="169" fontId="35" fillId="10" borderId="105" xfId="2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1" fontId="8" fillId="21" borderId="0" xfId="0" applyNumberFormat="1" applyFont="1" applyFill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center" wrapText="1"/>
    </xf>
    <xf numFmtId="0" fontId="2" fillId="13" borderId="1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9" fillId="10" borderId="79" xfId="0" applyFont="1" applyFill="1" applyBorder="1" applyAlignment="1">
      <alignment horizontal="center" vertical="center" wrapText="1"/>
    </xf>
    <xf numFmtId="0" fontId="51" fillId="10" borderId="79" xfId="0" applyFont="1" applyFill="1" applyBorder="1" applyAlignment="1">
      <alignment horizontal="left" vertical="center" wrapText="1"/>
    </xf>
    <xf numFmtId="0" fontId="51" fillId="10" borderId="79" xfId="0" applyFont="1" applyFill="1" applyBorder="1" applyAlignment="1">
      <alignment horizontal="center" vertical="center" wrapText="1"/>
    </xf>
    <xf numFmtId="166" fontId="51" fillId="10" borderId="79" xfId="3" applyNumberFormat="1" applyFont="1" applyFill="1" applyBorder="1" applyAlignment="1">
      <alignment horizontal="center" vertical="center" wrapText="1"/>
    </xf>
    <xf numFmtId="0" fontId="49" fillId="10" borderId="4" xfId="0" applyFont="1" applyFill="1" applyBorder="1" applyAlignment="1">
      <alignment vertical="center" wrapText="1"/>
    </xf>
    <xf numFmtId="0" fontId="49" fillId="0" borderId="1" xfId="0" applyFont="1" applyBorder="1" applyAlignment="1">
      <alignment wrapText="1"/>
    </xf>
    <xf numFmtId="0" fontId="49" fillId="10" borderId="1" xfId="0" applyFont="1" applyFill="1" applyBorder="1" applyAlignment="1">
      <alignment wrapText="1"/>
    </xf>
    <xf numFmtId="0" fontId="51" fillId="19" borderId="79" xfId="0" applyFont="1" applyFill="1" applyBorder="1" applyAlignment="1">
      <alignment horizontal="left" vertical="center" wrapText="1"/>
    </xf>
    <xf numFmtId="166" fontId="51" fillId="10" borderId="79" xfId="0" applyNumberFormat="1" applyFont="1" applyFill="1" applyBorder="1" applyAlignment="1">
      <alignment horizontal="center" vertical="center" wrapText="1"/>
    </xf>
    <xf numFmtId="0" fontId="49" fillId="10" borderId="4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center"/>
    </xf>
    <xf numFmtId="9" fontId="7" fillId="5" borderId="34" xfId="2" applyFont="1" applyFill="1" applyBorder="1" applyAlignment="1" applyProtection="1">
      <alignment horizontal="center"/>
    </xf>
    <xf numFmtId="9" fontId="7" fillId="5" borderId="38" xfId="2" applyFont="1" applyFill="1" applyBorder="1" applyAlignment="1" applyProtection="1">
      <alignment horizontal="center"/>
    </xf>
    <xf numFmtId="9" fontId="7" fillId="5" borderId="39" xfId="2" applyFont="1" applyFill="1" applyBorder="1" applyAlignment="1" applyProtection="1">
      <alignment horizontal="center"/>
    </xf>
    <xf numFmtId="9" fontId="7" fillId="5" borderId="40" xfId="2" applyFont="1" applyFill="1" applyBorder="1" applyAlignment="1" applyProtection="1">
      <alignment horizontal="center"/>
    </xf>
    <xf numFmtId="0" fontId="7" fillId="5" borderId="13" xfId="0" applyFont="1" applyFill="1" applyBorder="1" applyAlignment="1">
      <alignment horizontal="center"/>
    </xf>
    <xf numFmtId="9" fontId="7" fillId="0" borderId="32" xfId="2" applyFont="1" applyFill="1" applyBorder="1" applyAlignment="1" applyProtection="1">
      <alignment horizontal="center"/>
    </xf>
    <xf numFmtId="0" fontId="7" fillId="5" borderId="122" xfId="0" applyFont="1" applyFill="1" applyBorder="1" applyAlignment="1">
      <alignment horizontal="center"/>
    </xf>
    <xf numFmtId="9" fontId="7" fillId="0" borderId="35" xfId="2" applyFont="1" applyFill="1" applyBorder="1" applyAlignment="1" applyProtection="1">
      <alignment horizontal="center"/>
    </xf>
    <xf numFmtId="0" fontId="50" fillId="0" borderId="21" xfId="0" applyFont="1" applyBorder="1" applyAlignment="1">
      <alignment horizontal="left" vertical="center" wrapText="1"/>
    </xf>
    <xf numFmtId="0" fontId="50" fillId="0" borderId="129" xfId="0" applyFont="1" applyBorder="1" applyAlignment="1">
      <alignment horizontal="left" vertical="center" wrapText="1"/>
    </xf>
    <xf numFmtId="4" fontId="45" fillId="0" borderId="60" xfId="0" applyNumberFormat="1" applyFont="1" applyBorder="1" applyAlignment="1">
      <alignment horizontal="center" vertical="center" wrapText="1"/>
    </xf>
    <xf numFmtId="4" fontId="45" fillId="0" borderId="20" xfId="0" applyNumberFormat="1" applyFont="1" applyBorder="1" applyAlignment="1">
      <alignment horizontal="center" vertical="center" wrapText="1"/>
    </xf>
    <xf numFmtId="4" fontId="45" fillId="0" borderId="61" xfId="0" applyNumberFormat="1" applyFont="1" applyBorder="1" applyAlignment="1">
      <alignment horizontal="center" vertical="center" wrapText="1"/>
    </xf>
    <xf numFmtId="4" fontId="45" fillId="0" borderId="52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14" borderId="128" xfId="0" applyFont="1" applyFill="1" applyBorder="1" applyAlignment="1">
      <alignment horizontal="left" vertical="center" wrapText="1"/>
    </xf>
    <xf numFmtId="4" fontId="1" fillId="0" borderId="130" xfId="0" applyNumberFormat="1" applyFont="1" applyBorder="1" applyAlignment="1">
      <alignment horizontal="center" vertical="center" wrapText="1"/>
    </xf>
    <xf numFmtId="4" fontId="1" fillId="0" borderId="72" xfId="0" applyNumberFormat="1" applyFont="1" applyBorder="1" applyAlignment="1">
      <alignment horizontal="center" vertical="center" wrapText="1"/>
    </xf>
    <xf numFmtId="4" fontId="1" fillId="0" borderId="50" xfId="0" applyNumberFormat="1" applyFont="1" applyBorder="1" applyAlignment="1">
      <alignment horizontal="center" vertical="center" wrapText="1"/>
    </xf>
    <xf numFmtId="4" fontId="1" fillId="14" borderId="130" xfId="0" applyNumberFormat="1" applyFont="1" applyFill="1" applyBorder="1" applyAlignment="1">
      <alignment horizontal="center" vertical="center" wrapText="1"/>
    </xf>
    <xf numFmtId="4" fontId="1" fillId="14" borderId="88" xfId="0" applyNumberFormat="1" applyFont="1" applyFill="1" applyBorder="1" applyAlignment="1">
      <alignment horizontal="center" vertical="center" wrapText="1"/>
    </xf>
    <xf numFmtId="9" fontId="1" fillId="0" borderId="20" xfId="2" applyFont="1" applyBorder="1" applyAlignment="1">
      <alignment horizontal="center" vertical="center" wrapText="1"/>
    </xf>
    <xf numFmtId="9" fontId="1" fillId="0" borderId="61" xfId="2" applyFont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9" fontId="1" fillId="0" borderId="60" xfId="2" applyFont="1" applyBorder="1" applyAlignment="1">
      <alignment horizontal="center" vertical="center" wrapText="1"/>
    </xf>
    <xf numFmtId="4" fontId="1" fillId="14" borderId="62" xfId="0" applyNumberFormat="1" applyFont="1" applyFill="1" applyBorder="1" applyAlignment="1">
      <alignment horizontal="center" vertical="center" wrapText="1"/>
    </xf>
    <xf numFmtId="9" fontId="1" fillId="0" borderId="52" xfId="2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2" borderId="1" xfId="0" applyFont="1" applyFill="1" applyBorder="1" applyAlignment="1" applyProtection="1">
      <alignment horizontal="center" vertical="center" wrapText="1"/>
      <protection locked="0"/>
    </xf>
    <xf numFmtId="0" fontId="1" fillId="2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7" fillId="0" borderId="1" xfId="0" applyFont="1" applyBorder="1" applyAlignment="1">
      <alignment horizontal="left" vertical="top" wrapText="1"/>
    </xf>
    <xf numFmtId="0" fontId="11" fillId="22" borderId="1" xfId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0" fontId="14" fillId="0" borderId="0" xfId="0" applyFont="1" applyAlignment="1">
      <alignment horizontal="left" vertical="top" wrapText="1" indent="14"/>
    </xf>
    <xf numFmtId="0" fontId="2" fillId="0" borderId="0" xfId="0" applyFont="1"/>
    <xf numFmtId="166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66" fontId="2" fillId="23" borderId="1" xfId="0" applyNumberFormat="1" applyFont="1" applyFill="1" applyBorder="1" applyAlignment="1">
      <alignment horizontal="center" vertical="center"/>
    </xf>
    <xf numFmtId="0" fontId="50" fillId="0" borderId="37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50" fillId="0" borderId="41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166" fontId="8" fillId="2" borderId="0" xfId="0" applyNumberFormat="1" applyFont="1" applyFill="1" applyAlignment="1" applyProtection="1">
      <alignment wrapText="1"/>
      <protection locked="0"/>
    </xf>
    <xf numFmtId="166" fontId="8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0" fontId="20" fillId="0" borderId="7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right" vertical="center" wrapText="1" indent="3"/>
    </xf>
    <xf numFmtId="166" fontId="6" fillId="23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166" fontId="5" fillId="12" borderId="1" xfId="0" applyNumberFormat="1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left" vertical="center"/>
    </xf>
    <xf numFmtId="0" fontId="7" fillId="24" borderId="0" xfId="0" applyFont="1" applyFill="1" applyAlignment="1">
      <alignment horizontal="left" vertical="center"/>
    </xf>
    <xf numFmtId="43" fontId="6" fillId="0" borderId="0" xfId="3" applyFont="1" applyAlignment="1" applyProtection="1">
      <alignment horizontal="center" vertical="center" wrapText="1"/>
    </xf>
    <xf numFmtId="166" fontId="6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2" fillId="0" borderId="0" xfId="0" applyFont="1" applyAlignment="1">
      <alignment horizontal="right" vertical="center" wrapText="1"/>
    </xf>
    <xf numFmtId="0" fontId="40" fillId="0" borderId="0" xfId="0" applyFont="1"/>
    <xf numFmtId="0" fontId="46" fillId="4" borderId="4" xfId="0" applyFont="1" applyFill="1" applyBorder="1" applyAlignment="1">
      <alignment horizontal="center" vertical="center" wrapText="1"/>
    </xf>
    <xf numFmtId="0" fontId="14" fillId="0" borderId="0" xfId="0" applyFont="1"/>
    <xf numFmtId="4" fontId="27" fillId="0" borderId="0" xfId="0" applyNumberFormat="1" applyFont="1"/>
    <xf numFmtId="0" fontId="27" fillId="0" borderId="0" xfId="0" applyFont="1"/>
    <xf numFmtId="9" fontId="14" fillId="0" borderId="0" xfId="0" applyNumberFormat="1" applyFont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7" fillId="0" borderId="7" xfId="0" applyFont="1" applyBorder="1"/>
    <xf numFmtId="0" fontId="11" fillId="22" borderId="1" xfId="1" applyFont="1" applyFill="1" applyBorder="1" applyAlignment="1" applyProtection="1">
      <alignment horizontal="center" vertical="center" wrapText="1"/>
      <protection locked="0"/>
    </xf>
    <xf numFmtId="171" fontId="8" fillId="3" borderId="1" xfId="0" applyNumberFormat="1" applyFont="1" applyFill="1" applyBorder="1" applyAlignment="1" applyProtection="1">
      <alignment horizontal="left" vertical="center" wrapText="1"/>
      <protection locked="0"/>
    </xf>
    <xf numFmtId="171" fontId="53" fillId="3" borderId="1" xfId="0" applyNumberFormat="1" applyFont="1" applyFill="1" applyBorder="1" applyAlignment="1" applyProtection="1">
      <alignment horizontal="center" vertical="center" wrapText="1"/>
      <protection locked="0"/>
    </xf>
    <xf numFmtId="171" fontId="44" fillId="0" borderId="0" xfId="0" applyNumberFormat="1" applyFont="1" applyAlignment="1" applyProtection="1">
      <alignment horizontal="center" vertical="center"/>
      <protection locked="0"/>
    </xf>
    <xf numFmtId="171" fontId="4" fillId="4" borderId="0" xfId="0" applyNumberFormat="1" applyFont="1" applyFill="1" applyAlignment="1">
      <alignment horizontal="center" vertical="center" wrapText="1"/>
    </xf>
    <xf numFmtId="171" fontId="8" fillId="3" borderId="0" xfId="0" applyNumberFormat="1" applyFont="1" applyFill="1" applyAlignment="1">
      <alignment horizontal="center" vertical="center" wrapText="1"/>
    </xf>
    <xf numFmtId="171" fontId="8" fillId="0" borderId="121" xfId="0" applyNumberFormat="1" applyFont="1" applyBorder="1"/>
    <xf numFmtId="0" fontId="3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1" fontId="8" fillId="3" borderId="0" xfId="0" applyNumberFormat="1" applyFont="1" applyFill="1" applyAlignment="1" applyProtection="1">
      <alignment horizontal="center" vertical="center" wrapText="1"/>
      <protection locked="0"/>
    </xf>
    <xf numFmtId="171" fontId="8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166" fontId="0" fillId="0" borderId="0" xfId="0" applyNumberFormat="1"/>
    <xf numFmtId="0" fontId="49" fillId="0" borderId="79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left" vertical="center" wrapText="1"/>
    </xf>
    <xf numFmtId="0" fontId="51" fillId="0" borderId="79" xfId="0" applyFont="1" applyBorder="1" applyAlignment="1">
      <alignment horizontal="center" vertical="center" wrapText="1"/>
    </xf>
    <xf numFmtId="166" fontId="51" fillId="0" borderId="79" xfId="3" applyNumberFormat="1" applyFont="1" applyFill="1" applyBorder="1" applyAlignment="1">
      <alignment horizontal="center" vertical="center" wrapText="1"/>
    </xf>
    <xf numFmtId="0" fontId="49" fillId="0" borderId="4" xfId="0" applyFont="1" applyBorder="1" applyAlignment="1">
      <alignment vertical="center" wrapText="1"/>
    </xf>
    <xf numFmtId="171" fontId="8" fillId="0" borderId="121" xfId="0" applyNumberFormat="1" applyFont="1" applyBorder="1" applyProtection="1">
      <protection locked="0"/>
    </xf>
    <xf numFmtId="172" fontId="8" fillId="0" borderId="0" xfId="0" applyNumberFormat="1" applyFont="1"/>
    <xf numFmtId="166" fontId="34" fillId="0" borderId="1" xfId="0" applyNumberFormat="1" applyFont="1" applyBorder="1" applyAlignment="1" applyProtection="1">
      <alignment horizontal="center" vertical="center" wrapText="1"/>
      <protection locked="0"/>
    </xf>
    <xf numFmtId="171" fontId="50" fillId="18" borderId="0" xfId="0" applyNumberFormat="1" applyFont="1" applyFill="1" applyAlignment="1">
      <alignment horizontal="left" vertical="center"/>
    </xf>
    <xf numFmtId="171" fontId="50" fillId="11" borderId="0" xfId="0" applyNumberFormat="1" applyFont="1" applyFill="1" applyAlignment="1">
      <alignment horizontal="left" vertical="center"/>
    </xf>
    <xf numFmtId="171" fontId="1" fillId="21" borderId="0" xfId="0" applyNumberFormat="1" applyFont="1" applyFill="1" applyAlignment="1">
      <alignment horizontal="left" vertical="center"/>
    </xf>
    <xf numFmtId="0" fontId="7" fillId="25" borderId="0" xfId="0" applyFont="1" applyFill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131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 wrapText="1"/>
    </xf>
    <xf numFmtId="0" fontId="1" fillId="0" borderId="131" xfId="0" applyFont="1" applyBorder="1"/>
    <xf numFmtId="0" fontId="2" fillId="0" borderId="134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133" xfId="0" applyNumberFormat="1" applyFont="1" applyBorder="1" applyAlignment="1">
      <alignment horizontal="center" vertical="center"/>
    </xf>
    <xf numFmtId="10" fontId="1" fillId="0" borderId="0" xfId="2" applyNumberFormat="1" applyFont="1" applyBorder="1" applyAlignment="1" applyProtection="1">
      <alignment horizontal="center" vertical="center"/>
    </xf>
    <xf numFmtId="10" fontId="1" fillId="0" borderId="133" xfId="2" applyNumberFormat="1" applyFont="1" applyBorder="1" applyAlignment="1" applyProtection="1">
      <alignment horizontal="center" vertical="center"/>
    </xf>
    <xf numFmtId="10" fontId="1" fillId="0" borderId="131" xfId="2" applyNumberFormat="1" applyFont="1" applyBorder="1" applyAlignment="1" applyProtection="1">
      <alignment horizontal="center" vertical="center"/>
    </xf>
    <xf numFmtId="10" fontId="1" fillId="0" borderId="134" xfId="2" applyNumberFormat="1" applyFont="1" applyBorder="1" applyAlignment="1" applyProtection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1" fillId="0" borderId="5" xfId="0" applyNumberFormat="1" applyFont="1" applyBorder="1" applyAlignment="1">
      <alignment horizontal="left" wrapText="1"/>
    </xf>
    <xf numFmtId="166" fontId="1" fillId="0" borderId="5" xfId="0" applyNumberFormat="1" applyFont="1" applyBorder="1" applyAlignment="1">
      <alignment horizontal="center" wrapText="1"/>
    </xf>
    <xf numFmtId="166" fontId="1" fillId="2" borderId="5" xfId="0" applyNumberFormat="1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166" fontId="1" fillId="0" borderId="138" xfId="0" applyNumberFormat="1" applyFont="1" applyBorder="1" applyAlignment="1">
      <alignment horizontal="center" vertical="center"/>
    </xf>
    <xf numFmtId="166" fontId="1" fillId="0" borderId="139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1" fontId="50" fillId="26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wrapText="1"/>
      <protection locked="0"/>
    </xf>
    <xf numFmtId="4" fontId="2" fillId="23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50" fillId="0" borderId="46" xfId="0" applyFont="1" applyBorder="1" applyAlignment="1">
      <alignment horizontal="left" vertical="center" wrapText="1"/>
    </xf>
    <xf numFmtId="0" fontId="50" fillId="0" borderId="47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4" fontId="45" fillId="0" borderId="80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0" fontId="50" fillId="0" borderId="55" xfId="0" applyFont="1" applyBorder="1" applyAlignment="1">
      <alignment horizontal="left" vertical="center" wrapText="1"/>
    </xf>
    <xf numFmtId="0" fontId="50" fillId="0" borderId="6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left" vertical="center" wrapText="1"/>
    </xf>
    <xf numFmtId="0" fontId="50" fillId="0" borderId="45" xfId="0" applyFont="1" applyBorder="1" applyAlignment="1">
      <alignment horizontal="left" vertical="center" wrapText="1"/>
    </xf>
    <xf numFmtId="0" fontId="50" fillId="0" borderId="130" xfId="0" applyFont="1" applyBorder="1" applyAlignment="1">
      <alignment horizontal="left" vertical="center" wrapText="1"/>
    </xf>
    <xf numFmtId="0" fontId="50" fillId="0" borderId="140" xfId="0" applyFont="1" applyBorder="1" applyAlignment="1">
      <alignment horizontal="left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67" xfId="0" applyFont="1" applyBorder="1" applyAlignment="1">
      <alignment horizontal="left" vertical="center" wrapText="1"/>
    </xf>
    <xf numFmtId="0" fontId="50" fillId="0" borderId="44" xfId="0" applyFont="1" applyBorder="1" applyAlignment="1">
      <alignment horizontal="left" vertical="center" wrapText="1"/>
    </xf>
    <xf numFmtId="0" fontId="50" fillId="0" borderId="4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79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2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" fontId="2" fillId="23" borderId="1" xfId="0" applyNumberFormat="1" applyFont="1" applyFill="1" applyBorder="1" applyAlignment="1">
      <alignment vertical="center" wrapText="1"/>
    </xf>
    <xf numFmtId="2" fontId="1" fillId="0" borderId="0" xfId="0" applyNumberFormat="1" applyFont="1"/>
    <xf numFmtId="0" fontId="1" fillId="2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/>
    <xf numFmtId="166" fontId="7" fillId="2" borderId="1" xfId="0" applyNumberFormat="1" applyFont="1" applyFill="1" applyBorder="1"/>
    <xf numFmtId="166" fontId="7" fillId="2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 applyProtection="1">
      <alignment wrapText="1"/>
      <protection locked="0"/>
    </xf>
    <xf numFmtId="166" fontId="7" fillId="2" borderId="1" xfId="0" applyNumberFormat="1" applyFont="1" applyFill="1" applyBorder="1" applyAlignment="1" applyProtection="1">
      <alignment horizontal="center"/>
      <protection locked="0"/>
    </xf>
    <xf numFmtId="173" fontId="7" fillId="0" borderId="0" xfId="0" applyNumberFormat="1" applyFont="1"/>
    <xf numFmtId="166" fontId="7" fillId="0" borderId="0" xfId="0" applyNumberFormat="1" applyFont="1" applyAlignment="1">
      <alignment horizontal="center"/>
    </xf>
    <xf numFmtId="9" fontId="6" fillId="0" borderId="1" xfId="2" applyFont="1" applyBorder="1" applyAlignment="1" applyProtection="1">
      <alignment horizontal="center" vertical="center" wrapText="1"/>
    </xf>
    <xf numFmtId="166" fontId="6" fillId="0" borderId="1" xfId="3" applyNumberFormat="1" applyFont="1" applyBorder="1" applyAlignment="1" applyProtection="1">
      <alignment horizontal="center" vertical="center" wrapText="1"/>
    </xf>
    <xf numFmtId="9" fontId="6" fillId="0" borderId="4" xfId="2" applyFont="1" applyBorder="1" applyAlignment="1" applyProtection="1">
      <alignment horizontal="center" vertical="center" wrapText="1"/>
    </xf>
    <xf numFmtId="166" fontId="6" fillId="0" borderId="142" xfId="3" applyNumberFormat="1" applyFont="1" applyBorder="1" applyAlignment="1" applyProtection="1">
      <alignment horizontal="center" vertical="center" wrapText="1"/>
    </xf>
    <xf numFmtId="166" fontId="6" fillId="0" borderId="143" xfId="3" applyNumberFormat="1" applyFont="1" applyBorder="1" applyAlignment="1" applyProtection="1">
      <alignment horizontal="center" vertical="center" wrapText="1"/>
    </xf>
    <xf numFmtId="9" fontId="6" fillId="0" borderId="145" xfId="2" applyFont="1" applyBorder="1" applyAlignment="1" applyProtection="1">
      <alignment horizontal="center" vertical="center" wrapText="1"/>
    </xf>
    <xf numFmtId="9" fontId="6" fillId="0" borderId="146" xfId="2" applyFont="1" applyBorder="1" applyAlignment="1" applyProtection="1">
      <alignment horizontal="center" vertical="center" wrapText="1"/>
    </xf>
    <xf numFmtId="0" fontId="25" fillId="2" borderId="1" xfId="0" quotePrefix="1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4" fontId="7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7" fillId="2" borderId="1" xfId="0" applyNumberFormat="1" applyFont="1" applyFill="1" applyBorder="1" applyAlignment="1" applyProtection="1">
      <alignment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171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wrapText="1"/>
    </xf>
    <xf numFmtId="0" fontId="37" fillId="0" borderId="7" xfId="0" applyFont="1" applyBorder="1" applyAlignment="1">
      <alignment vertical="center" wrapText="1"/>
    </xf>
    <xf numFmtId="171" fontId="8" fillId="0" borderId="1" xfId="0" applyNumberFormat="1" applyFont="1" applyBorder="1" applyAlignment="1">
      <alignment horizontal="right"/>
    </xf>
    <xf numFmtId="171" fontId="8" fillId="0" borderId="1" xfId="0" applyNumberFormat="1" applyFont="1" applyBorder="1" applyAlignment="1" applyProtection="1">
      <alignment horizontal="right"/>
      <protection locked="0"/>
    </xf>
    <xf numFmtId="43" fontId="6" fillId="0" borderId="0" xfId="0" applyNumberFormat="1" applyFont="1" applyAlignment="1">
      <alignment horizontal="center" vertical="center" wrapText="1"/>
    </xf>
    <xf numFmtId="10" fontId="7" fillId="0" borderId="0" xfId="2" applyNumberFormat="1" applyFont="1" applyBorder="1" applyAlignment="1" applyProtection="1">
      <alignment horizontal="center" vertical="center" wrapText="1"/>
    </xf>
    <xf numFmtId="174" fontId="7" fillId="0" borderId="0" xfId="2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left" vertical="center" wrapText="1"/>
      <protection locked="0"/>
    </xf>
    <xf numFmtId="14" fontId="1" fillId="22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4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left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wrapText="1"/>
      <protection locked="0"/>
    </xf>
    <xf numFmtId="166" fontId="1" fillId="0" borderId="0" xfId="0" applyNumberFormat="1" applyFont="1" applyProtection="1">
      <protection locked="0"/>
    </xf>
    <xf numFmtId="170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14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7" fillId="0" borderId="0" xfId="0" applyNumberFormat="1" applyFont="1" applyProtection="1">
      <protection locked="0"/>
    </xf>
    <xf numFmtId="43" fontId="7" fillId="0" borderId="0" xfId="0" applyNumberFormat="1" applyFont="1" applyAlignment="1" applyProtection="1">
      <alignment horizontal="center" vertical="center" wrapText="1"/>
      <protection locked="0"/>
    </xf>
    <xf numFmtId="0" fontId="50" fillId="0" borderId="48" xfId="0" applyFont="1" applyBorder="1" applyAlignment="1">
      <alignment horizontal="left" vertical="center" wrapText="1"/>
    </xf>
    <xf numFmtId="0" fontId="50" fillId="0" borderId="128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7" fillId="0" borderId="128" xfId="0" applyFont="1" applyBorder="1" applyAlignment="1">
      <alignment horizontal="left" vertical="center"/>
    </xf>
    <xf numFmtId="0" fontId="25" fillId="0" borderId="128" xfId="0" applyFont="1" applyBorder="1" applyAlignment="1">
      <alignment horizontal="left" vertical="center"/>
    </xf>
    <xf numFmtId="0" fontId="25" fillId="0" borderId="8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 wrapText="1"/>
    </xf>
    <xf numFmtId="4" fontId="45" fillId="0" borderId="1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4" fillId="0" borderId="0" xfId="0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168" fontId="4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9" fontId="4" fillId="0" borderId="105" xfId="2" applyFont="1" applyFill="1" applyBorder="1" applyAlignment="1" applyProtection="1">
      <alignment horizontal="center"/>
    </xf>
    <xf numFmtId="4" fontId="1" fillId="0" borderId="58" xfId="0" applyNumberFormat="1" applyFont="1" applyBorder="1" applyAlignment="1">
      <alignment horizontal="center" vertical="center" wrapText="1"/>
    </xf>
    <xf numFmtId="0" fontId="45" fillId="4" borderId="46" xfId="0" applyFont="1" applyFill="1" applyBorder="1" applyAlignment="1">
      <alignment horizontal="center" vertical="center" wrapText="1"/>
    </xf>
    <xf numFmtId="0" fontId="45" fillId="4" borderId="79" xfId="0" applyFont="1" applyFill="1" applyBorder="1" applyAlignment="1">
      <alignment horizontal="center" vertical="center" wrapText="1"/>
    </xf>
    <xf numFmtId="0" fontId="45" fillId="4" borderId="15" xfId="0" applyFont="1" applyFill="1" applyBorder="1" applyAlignment="1">
      <alignment horizontal="center" vertical="center" wrapText="1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 indent="2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4" fontId="2" fillId="0" borderId="96" xfId="0" applyNumberFormat="1" applyFont="1" applyBorder="1" applyAlignment="1">
      <alignment horizontal="center" vertical="center"/>
    </xf>
    <xf numFmtId="4" fontId="12" fillId="0" borderId="9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2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5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9" fontId="23" fillId="0" borderId="0" xfId="2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14" fontId="3" fillId="0" borderId="15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5" xfId="0" applyFont="1" applyBorder="1"/>
    <xf numFmtId="4" fontId="3" fillId="0" borderId="5" xfId="0" applyNumberFormat="1" applyFont="1" applyBorder="1"/>
    <xf numFmtId="10" fontId="23" fillId="0" borderId="5" xfId="2" applyNumberFormat="1" applyBorder="1"/>
    <xf numFmtId="10" fontId="23" fillId="0" borderId="0" xfId="2" applyNumberForma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0" fontId="23" fillId="0" borderId="1" xfId="2" applyNumberFormat="1" applyBorder="1"/>
    <xf numFmtId="0" fontId="25" fillId="2" borderId="1" xfId="0" applyFont="1" applyFill="1" applyBorder="1" applyAlignment="1" applyProtection="1">
      <alignment wrapText="1"/>
      <protection locked="0"/>
    </xf>
    <xf numFmtId="0" fontId="3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171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>
      <alignment horizontal="center" vertical="center" wrapText="1"/>
    </xf>
    <xf numFmtId="175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45" fillId="4" borderId="62" xfId="0" applyFont="1" applyFill="1" applyBorder="1" applyAlignment="1">
      <alignment horizontal="center" vertical="center" wrapText="1"/>
    </xf>
    <xf numFmtId="0" fontId="45" fillId="4" borderId="64" xfId="0" applyFont="1" applyFill="1" applyBorder="1" applyAlignment="1">
      <alignment horizontal="center" vertical="center" wrapText="1"/>
    </xf>
    <xf numFmtId="0" fontId="45" fillId="4" borderId="18" xfId="0" applyFont="1" applyFill="1" applyBorder="1" applyAlignment="1">
      <alignment horizontal="center" vertical="center" wrapText="1"/>
    </xf>
    <xf numFmtId="0" fontId="45" fillId="4" borderId="19" xfId="0" applyFont="1" applyFill="1" applyBorder="1" applyAlignment="1">
      <alignment horizontal="center" vertical="center" wrapText="1"/>
    </xf>
    <xf numFmtId="0" fontId="45" fillId="4" borderId="54" xfId="0" applyFont="1" applyFill="1" applyBorder="1" applyAlignment="1">
      <alignment horizontal="center" vertical="center" wrapText="1"/>
    </xf>
    <xf numFmtId="0" fontId="45" fillId="4" borderId="68" xfId="0" applyFont="1" applyFill="1" applyBorder="1" applyAlignment="1">
      <alignment horizontal="center" vertical="center" wrapText="1"/>
    </xf>
    <xf numFmtId="0" fontId="45" fillId="4" borderId="69" xfId="0" applyFont="1" applyFill="1" applyBorder="1" applyAlignment="1">
      <alignment horizontal="center" vertical="center" wrapText="1"/>
    </xf>
    <xf numFmtId="0" fontId="45" fillId="4" borderId="22" xfId="0" applyFont="1" applyFill="1" applyBorder="1" applyAlignment="1">
      <alignment horizontal="center" vertical="center" wrapText="1"/>
    </xf>
    <xf numFmtId="0" fontId="45" fillId="4" borderId="24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0" fontId="45" fillId="4" borderId="41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5" fillId="4" borderId="12" xfId="0" applyFont="1" applyFill="1" applyBorder="1" applyAlignment="1">
      <alignment horizontal="center" vertical="center" wrapText="1"/>
    </xf>
    <xf numFmtId="0" fontId="45" fillId="4" borderId="27" xfId="0" applyFont="1" applyFill="1" applyBorder="1" applyAlignment="1">
      <alignment horizontal="center" vertical="center" wrapText="1"/>
    </xf>
    <xf numFmtId="0" fontId="45" fillId="4" borderId="29" xfId="0" applyFont="1" applyFill="1" applyBorder="1" applyAlignment="1">
      <alignment horizontal="center" vertical="center" wrapText="1"/>
    </xf>
    <xf numFmtId="0" fontId="45" fillId="4" borderId="5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7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0" borderId="123" xfId="0" applyNumberFormat="1" applyFont="1" applyBorder="1" applyAlignment="1">
      <alignment horizontal="center" vertical="center" wrapText="1"/>
    </xf>
    <xf numFmtId="166" fontId="2" fillId="0" borderId="124" xfId="0" applyNumberFormat="1" applyFont="1" applyBorder="1" applyAlignment="1">
      <alignment horizontal="center" vertical="center" wrapText="1"/>
    </xf>
    <xf numFmtId="166" fontId="2" fillId="0" borderId="125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7" fontId="12" fillId="0" borderId="98" xfId="0" applyNumberFormat="1" applyFont="1" applyBorder="1" applyAlignment="1">
      <alignment horizontal="center" vertical="center" wrapText="1"/>
    </xf>
    <xf numFmtId="171" fontId="45" fillId="0" borderId="0" xfId="0" applyNumberFormat="1" applyFont="1" applyAlignment="1">
      <alignment horizontal="center" vertical="center"/>
    </xf>
    <xf numFmtId="171" fontId="4" fillId="0" borderId="1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right" vertical="center" wrapText="1"/>
    </xf>
    <xf numFmtId="0" fontId="2" fillId="16" borderId="53" xfId="0" applyFont="1" applyFill="1" applyBorder="1" applyAlignment="1">
      <alignment horizontal="right" vertical="center" wrapText="1"/>
    </xf>
    <xf numFmtId="0" fontId="2" fillId="4" borderId="53" xfId="0" applyFont="1" applyFill="1" applyBorder="1" applyAlignment="1">
      <alignment horizontal="center" vertical="center" wrapText="1"/>
    </xf>
    <xf numFmtId="166" fontId="6" fillId="0" borderId="123" xfId="0" applyNumberFormat="1" applyFont="1" applyBorder="1" applyAlignment="1">
      <alignment horizontal="center" vertical="center" wrapText="1"/>
    </xf>
    <xf numFmtId="166" fontId="6" fillId="0" borderId="124" xfId="0" applyNumberFormat="1" applyFont="1" applyBorder="1" applyAlignment="1">
      <alignment horizontal="center" vertical="center" wrapText="1"/>
    </xf>
    <xf numFmtId="166" fontId="6" fillId="0" borderId="125" xfId="0" applyNumberFormat="1" applyFont="1" applyBorder="1" applyAlignment="1">
      <alignment horizontal="center" vertical="center" wrapText="1"/>
    </xf>
    <xf numFmtId="166" fontId="6" fillId="3" borderId="79" xfId="0" applyNumberFormat="1" applyFont="1" applyFill="1" applyBorder="1" applyAlignment="1">
      <alignment horizontal="center" vertical="center" wrapText="1"/>
    </xf>
    <xf numFmtId="166" fontId="6" fillId="3" borderId="8" xfId="0" applyNumberFormat="1" applyFont="1" applyFill="1" applyBorder="1" applyAlignment="1">
      <alignment horizontal="center" vertical="center" wrapText="1"/>
    </xf>
    <xf numFmtId="166" fontId="6" fillId="3" borderId="90" xfId="0" applyNumberFormat="1" applyFont="1" applyFill="1" applyBorder="1" applyAlignment="1">
      <alignment horizontal="center" vertical="center" wrapText="1"/>
    </xf>
    <xf numFmtId="166" fontId="6" fillId="3" borderId="37" xfId="0" applyNumberFormat="1" applyFont="1" applyFill="1" applyBorder="1" applyAlignment="1">
      <alignment horizontal="center" vertical="center" wrapText="1"/>
    </xf>
    <xf numFmtId="166" fontId="6" fillId="3" borderId="7" xfId="0" applyNumberFormat="1" applyFont="1" applyFill="1" applyBorder="1" applyAlignment="1">
      <alignment horizontal="center" vertical="center" wrapText="1"/>
    </xf>
    <xf numFmtId="166" fontId="6" fillId="3" borderId="33" xfId="0" applyNumberFormat="1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166" fontId="6" fillId="4" borderId="53" xfId="0" applyNumberFormat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right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13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23" borderId="1" xfId="0" applyFont="1" applyFill="1" applyBorder="1" applyAlignment="1">
      <alignment horizontal="right" vertical="center" wrapText="1"/>
    </xf>
    <xf numFmtId="4" fontId="2" fillId="23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2" fillId="4" borderId="53" xfId="0" applyNumberFormat="1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0" fontId="2" fillId="0" borderId="137" xfId="0" applyFont="1" applyBorder="1" applyAlignment="1">
      <alignment horizontal="right" vertical="center"/>
    </xf>
    <xf numFmtId="0" fontId="2" fillId="0" borderId="138" xfId="0" applyFont="1" applyBorder="1" applyAlignment="1">
      <alignment horizontal="right" vertical="center"/>
    </xf>
    <xf numFmtId="0" fontId="2" fillId="0" borderId="139" xfId="0" applyFont="1" applyBorder="1" applyAlignment="1">
      <alignment horizontal="right" vertical="center"/>
    </xf>
    <xf numFmtId="0" fontId="2" fillId="0" borderId="136" xfId="0" applyFont="1" applyBorder="1" applyAlignment="1">
      <alignment horizontal="right" vertical="center"/>
    </xf>
    <xf numFmtId="0" fontId="2" fillId="0" borderId="131" xfId="0" applyFont="1" applyBorder="1" applyAlignment="1">
      <alignment horizontal="right" vertical="center"/>
    </xf>
    <xf numFmtId="0" fontId="2" fillId="0" borderId="134" xfId="0" applyFont="1" applyBorder="1" applyAlignment="1">
      <alignment horizontal="right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166" fontId="2" fillId="2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166" fontId="2" fillId="23" borderId="2" xfId="0" applyNumberFormat="1" applyFont="1" applyFill="1" applyBorder="1" applyAlignment="1">
      <alignment horizontal="center" vertical="center" wrapText="1"/>
    </xf>
    <xf numFmtId="166" fontId="2" fillId="23" borderId="53" xfId="0" applyNumberFormat="1" applyFont="1" applyFill="1" applyBorder="1" applyAlignment="1">
      <alignment horizontal="center" vertical="center" wrapText="1"/>
    </xf>
    <xf numFmtId="166" fontId="2" fillId="2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14" borderId="25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4" borderId="28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29" xfId="0" applyFont="1" applyFill="1" applyBorder="1" applyAlignment="1">
      <alignment horizontal="center" vertical="center" wrapText="1"/>
    </xf>
    <xf numFmtId="0" fontId="7" fillId="14" borderId="4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43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166" fontId="31" fillId="12" borderId="25" xfId="0" applyNumberFormat="1" applyFont="1" applyFill="1" applyBorder="1" applyAlignment="1">
      <alignment horizontal="right" vertical="center" wrapText="1"/>
    </xf>
    <xf numFmtId="166" fontId="31" fillId="12" borderId="26" xfId="0" applyNumberFormat="1" applyFont="1" applyFill="1" applyBorder="1" applyAlignment="1">
      <alignment horizontal="right" vertical="center" wrapText="1"/>
    </xf>
    <xf numFmtId="166" fontId="31" fillId="12" borderId="27" xfId="0" applyNumberFormat="1" applyFont="1" applyFill="1" applyBorder="1" applyAlignment="1">
      <alignment horizontal="right" vertical="center" wrapText="1"/>
    </xf>
    <xf numFmtId="0" fontId="6" fillId="0" borderId="8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166" fontId="6" fillId="0" borderId="76" xfId="0" applyNumberFormat="1" applyFont="1" applyBorder="1" applyAlignment="1">
      <alignment horizontal="center" vertical="center" wrapText="1"/>
    </xf>
    <xf numFmtId="166" fontId="6" fillId="0" borderId="77" xfId="0" applyNumberFormat="1" applyFont="1" applyBorder="1" applyAlignment="1">
      <alignment horizontal="center" vertical="center" wrapText="1"/>
    </xf>
    <xf numFmtId="166" fontId="6" fillId="0" borderId="78" xfId="0" applyNumberFormat="1" applyFont="1" applyBorder="1" applyAlignment="1">
      <alignment horizontal="center" vertical="center" wrapText="1"/>
    </xf>
    <xf numFmtId="0" fontId="7" fillId="12" borderId="60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14" borderId="66" xfId="0" applyFont="1" applyFill="1" applyBorder="1" applyAlignment="1">
      <alignment horizontal="center" vertical="center" wrapText="1"/>
    </xf>
    <xf numFmtId="166" fontId="19" fillId="12" borderId="46" xfId="0" applyNumberFormat="1" applyFont="1" applyFill="1" applyBorder="1" applyAlignment="1">
      <alignment horizontal="center" vertical="center"/>
    </xf>
    <xf numFmtId="166" fontId="19" fillId="12" borderId="55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4" fillId="12" borderId="60" xfId="0" applyFont="1" applyFill="1" applyBorder="1" applyAlignment="1">
      <alignment horizontal="center" vertical="center" wrapText="1"/>
    </xf>
    <xf numFmtId="0" fontId="4" fillId="12" borderId="61" xfId="0" applyFont="1" applyFill="1" applyBorder="1" applyAlignment="1">
      <alignment horizontal="center" vertical="center" wrapText="1"/>
    </xf>
    <xf numFmtId="166" fontId="19" fillId="10" borderId="54" xfId="0" applyNumberFormat="1" applyFont="1" applyFill="1" applyBorder="1" applyAlignment="1">
      <alignment horizontal="center" vertical="center"/>
    </xf>
    <xf numFmtId="166" fontId="19" fillId="10" borderId="48" xfId="0" applyNumberFormat="1" applyFont="1" applyFill="1" applyBorder="1" applyAlignment="1">
      <alignment horizontal="center" vertical="center"/>
    </xf>
    <xf numFmtId="166" fontId="19" fillId="10" borderId="68" xfId="0" applyNumberFormat="1" applyFont="1" applyFill="1" applyBorder="1" applyAlignment="1">
      <alignment horizontal="center" vertical="center"/>
    </xf>
    <xf numFmtId="166" fontId="19" fillId="10" borderId="44" xfId="0" applyNumberFormat="1" applyFont="1" applyFill="1" applyBorder="1" applyAlignment="1">
      <alignment horizontal="center" vertical="center"/>
    </xf>
    <xf numFmtId="169" fontId="28" fillId="10" borderId="68" xfId="2" applyNumberFormat="1" applyFont="1" applyFill="1" applyBorder="1" applyAlignment="1" applyProtection="1">
      <alignment horizontal="center" vertical="center"/>
    </xf>
    <xf numFmtId="169" fontId="28" fillId="10" borderId="44" xfId="2" applyNumberFormat="1" applyFont="1" applyFill="1" applyBorder="1" applyAlignment="1" applyProtection="1">
      <alignment horizontal="center" vertical="center"/>
    </xf>
    <xf numFmtId="166" fontId="6" fillId="0" borderId="50" xfId="0" applyNumberFormat="1" applyFont="1" applyBorder="1" applyAlignment="1">
      <alignment horizontal="right" vertical="center" wrapText="1"/>
    </xf>
    <xf numFmtId="166" fontId="6" fillId="0" borderId="42" xfId="0" applyNumberFormat="1" applyFont="1" applyBorder="1" applyAlignment="1">
      <alignment horizontal="right" vertical="center" wrapText="1"/>
    </xf>
    <xf numFmtId="166" fontId="6" fillId="0" borderId="51" xfId="0" applyNumberFormat="1" applyFont="1" applyBorder="1" applyAlignment="1">
      <alignment horizontal="right" vertical="center" wrapText="1"/>
    </xf>
    <xf numFmtId="166" fontId="7" fillId="5" borderId="62" xfId="0" applyNumberFormat="1" applyFont="1" applyFill="1" applyBorder="1" applyAlignment="1">
      <alignment horizontal="right" vertical="center" wrapText="1"/>
    </xf>
    <xf numFmtId="166" fontId="7" fillId="5" borderId="64" xfId="0" applyNumberFormat="1" applyFont="1" applyFill="1" applyBorder="1" applyAlignment="1">
      <alignment horizontal="right" vertical="center" wrapText="1"/>
    </xf>
    <xf numFmtId="166" fontId="7" fillId="5" borderId="75" xfId="0" applyNumberFormat="1" applyFont="1" applyFill="1" applyBorder="1" applyAlignment="1">
      <alignment horizontal="right" vertical="center" wrapText="1"/>
    </xf>
    <xf numFmtId="166" fontId="31" fillId="0" borderId="72" xfId="0" applyNumberFormat="1" applyFont="1" applyBorder="1" applyAlignment="1">
      <alignment horizontal="right" vertical="center" wrapText="1"/>
    </xf>
    <xf numFmtId="166" fontId="31" fillId="0" borderId="73" xfId="0" applyNumberFormat="1" applyFont="1" applyBorder="1" applyAlignment="1">
      <alignment horizontal="right" vertical="center" wrapText="1"/>
    </xf>
    <xf numFmtId="166" fontId="31" fillId="0" borderId="74" xfId="0" applyNumberFormat="1" applyFont="1" applyBorder="1" applyAlignment="1">
      <alignment horizontal="right" vertical="center" wrapText="1"/>
    </xf>
    <xf numFmtId="0" fontId="19" fillId="12" borderId="3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9" fontId="7" fillId="14" borderId="46" xfId="0" applyNumberFormat="1" applyFont="1" applyFill="1" applyBorder="1" applyAlignment="1">
      <alignment horizontal="center" vertical="center" wrapText="1"/>
    </xf>
    <xf numFmtId="9" fontId="7" fillId="14" borderId="55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9" fontId="16" fillId="12" borderId="4" xfId="2" applyFont="1" applyFill="1" applyBorder="1" applyAlignment="1" applyProtection="1">
      <alignment horizontal="center" vertical="center"/>
    </xf>
    <xf numFmtId="9" fontId="16" fillId="12" borderId="6" xfId="2" applyFont="1" applyFill="1" applyBorder="1" applyAlignment="1" applyProtection="1">
      <alignment horizontal="center" vertical="center"/>
    </xf>
    <xf numFmtId="9" fontId="16" fillId="12" borderId="47" xfId="2" applyFont="1" applyFill="1" applyBorder="1" applyAlignment="1" applyProtection="1">
      <alignment horizontal="center" vertical="center"/>
    </xf>
    <xf numFmtId="9" fontId="16" fillId="12" borderId="65" xfId="2" applyFont="1" applyFill="1" applyBorder="1" applyAlignment="1" applyProtection="1">
      <alignment horizontal="center" vertical="center"/>
    </xf>
    <xf numFmtId="166" fontId="19" fillId="12" borderId="4" xfId="0" applyNumberFormat="1" applyFont="1" applyFill="1" applyBorder="1" applyAlignment="1">
      <alignment horizontal="center" vertical="center"/>
    </xf>
    <xf numFmtId="166" fontId="19" fillId="12" borderId="6" xfId="0" applyNumberFormat="1" applyFont="1" applyFill="1" applyBorder="1" applyAlignment="1">
      <alignment horizontal="center" vertical="center"/>
    </xf>
    <xf numFmtId="169" fontId="28" fillId="10" borderId="69" xfId="2" applyNumberFormat="1" applyFont="1" applyFill="1" applyBorder="1" applyAlignment="1" applyProtection="1">
      <alignment horizontal="center" vertical="center"/>
    </xf>
    <xf numFmtId="169" fontId="28" fillId="10" borderId="49" xfId="2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8" xfId="0" applyFont="1" applyFill="1" applyBorder="1" applyAlignment="1">
      <alignment horizontal="center" vertical="center" wrapText="1"/>
    </xf>
    <xf numFmtId="0" fontId="2" fillId="13" borderId="62" xfId="0" applyFont="1" applyFill="1" applyBorder="1" applyAlignment="1">
      <alignment horizontal="center" vertical="center" wrapText="1"/>
    </xf>
    <xf numFmtId="0" fontId="2" fillId="13" borderId="6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2" fillId="13" borderId="25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75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217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</dxf>
    <dxf>
      <alignment horizontal="center"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colors>
    <mruColors>
      <color rgb="FFDF6613"/>
      <color rgb="FFAC75D5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vsmirnova\Desktop\&#1050;&#1072;&#1083;&#1100;&#1082;&#1091;&#1083;&#1103;&#1090;&#1086;&#1088;%20&#1043;&#1047;\&#1087;&#1088;&#1077;&#1076;&#1099;&#1076;&#1091;&#1097;&#1080;&#1077;%20&#1074;&#1077;&#1088;&#1089;&#1080;&#1080;\&#1050;&#1072;&#1083;&#1100;&#1082;&#1091;&#1083;&#1103;&#1090;&#1086;&#1088;_&#1056;&#1072;&#1089;&#1095;&#1077;&#1090;&#1072;%20&#1090;&#1077;&#1084;%20&#1053;&#1048;&#1056;%20&#1043;&#1047;%202024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vsmirnova\Desktop\&#1054;&#1073;&#1088;&#1072;&#1079;&#1077;&#1094;%20&#1090;&#1072;&#1073;.%20&#1087;&#1088;&#1077;&#1084;&#1080;&#1088;&#1086;&#1074;&#1072;&#1085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4;&#1080;&#1088;&#1085;&#1086;&#1074;&#1072;%20&#1042;.&#1042;\&#1053;&#1072;&#1091;&#1082;&#1072;%20&#1084;&#1077;&#1090;&#1086;&#1076;&#1080;&#1082;&#1072;\&#1053;&#1072;&#1091;&#1082;&#1072;%20&#1043;&#1047;\&#1052;&#1077;&#1090;&#1086;&#1076;&#1080;&#1082;&#1072;%20&#1085;&#1072;%202023%20&#1053;&#1048;&#1056;\&#1050;&#1072;&#1083;&#1100;&#1082;&#1091;&#1083;&#1103;&#1090;&#1086;&#1088;\Users\SVShulchina\Downloads\&#1055;&#1088;&#1080;&#1083;&#1086;&#1078;&#1077;&#1085;&#1080;&#1103;_&#1082;_&#1084;&#1077;&#1090;&#1086;&#1076;_&#1088;&#1077;&#1082;&#1086;&#1084;&#1077;&#1085;&#1076;&#1072;&#1094;&#1080;&#1103;&#1084;_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vsmirnova\Desktop\&#1054;&#1073;&#1088;&#1072;&#1079;&#1077;&#1094;_&#1056;&#1072;&#1089;&#1095;&#1077;&#1090;&#1072;%20&#1090;&#1077;&#1084;%20&#1053;&#1048;&#1056;%20&#1043;&#1047;%2026.01.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емы"/>
      <sheetName val="Соотношение категорий"/>
      <sheetName val="Титул"/>
      <sheetName val="Мат.запасы"/>
      <sheetName val="Командировочные"/>
      <sheetName val="Прочие расходы"/>
      <sheetName val="Состав ВТК"/>
      <sheetName val="График работ"/>
      <sheetName val="Трудозатраты членов ВТК"/>
      <sheetName val="План-задание"/>
      <sheetName val="Распределение"/>
      <sheetName val="Выплаты"/>
      <sheetName val="Премирование"/>
      <sheetName val="Премирование ПЕЧАТЬ"/>
      <sheetName val="Смета Реком."/>
      <sheetName val="Смета Рук.ВТК"/>
      <sheetName val="Состав ВТК ПЕЧАТЬ"/>
      <sheetName val="График работ ПЕЧАТЬ"/>
      <sheetName val="Штатка ПЕЧАТЬ"/>
      <sheetName val="Расчет участников НИР"/>
      <sheetName val="Расценка"/>
      <sheetName val="Справочник"/>
      <sheetName val="не забыть!"/>
      <sheetName val="должности"/>
      <sheetName val="Калькулятор_Расчета тем НИР ГЗ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емы"/>
      <sheetName val="Соотношение категорий"/>
      <sheetName val="Титул"/>
      <sheetName val="Мат.запасы"/>
      <sheetName val="Командировочные"/>
      <sheetName val="Прочие расходы"/>
      <sheetName val="Состав ВТК"/>
      <sheetName val="График работ"/>
      <sheetName val="Трудозатраты членов ВТК"/>
      <sheetName val="План-задание"/>
      <sheetName val="Распределение"/>
      <sheetName val="Выплаты"/>
      <sheetName val="Премирование"/>
      <sheetName val="Премирование ПЕЧАТЬ"/>
      <sheetName val="Смета Реком."/>
      <sheetName val="Смета Рук.ВТК"/>
      <sheetName val="Расчет участников НИР"/>
      <sheetName val="Состав ВТК ПЕЧАТЬ"/>
      <sheetName val="График работ ПЕЧАТЬ"/>
      <sheetName val="Штатка ПЕЧАТЬ"/>
      <sheetName val="Расценка"/>
      <sheetName val="справочник"/>
      <sheetName val="должности"/>
      <sheetName val="Образец таб. премировани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Приложение №1.1"/>
      <sheetName val="Приложение №1.2.1"/>
      <sheetName val="Приложение №1.2.2"/>
      <sheetName val="Приложение №1.3"/>
      <sheetName val="Приложение №1.4"/>
      <sheetName val="Приложение №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 t="str">
            <v>Директор института</v>
          </cell>
        </row>
        <row r="11">
          <cell r="C11" t="str">
            <v>Научный руководитель</v>
          </cell>
        </row>
        <row r="12">
          <cell r="C12" t="str">
            <v>Директор центра</v>
          </cell>
        </row>
        <row r="13">
          <cell r="C13" t="str">
            <v>Заведующий лабораторией</v>
          </cell>
        </row>
        <row r="14">
          <cell r="C14" t="str">
            <v>Заместитель директора центра</v>
          </cell>
        </row>
        <row r="15">
          <cell r="C15" t="str">
            <v>Главный научный сотрудник</v>
          </cell>
        </row>
        <row r="16">
          <cell r="C16" t="str">
            <v>Ведущий научный сотрудник</v>
          </cell>
        </row>
        <row r="17">
          <cell r="C17" t="str">
            <v>Старший научный сотрудник</v>
          </cell>
        </row>
        <row r="18">
          <cell r="C18" t="str">
            <v>Научный сотрудник</v>
          </cell>
        </row>
        <row r="19">
          <cell r="C19" t="str">
            <v>Младший научный сотрудник</v>
          </cell>
        </row>
        <row r="20">
          <cell r="C20" t="str">
            <v>Внешний эксперт
(не подпадающий под квалификацию НПР)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" name="Таблица25" displayName="Таблица25" ref="A1:G184" totalsRowShown="0" headerRowDxfId="216" tableBorderDxfId="215">
  <autoFilter ref="A1:G184"/>
  <tableColumns count="7">
    <tableColumn id="3" name="Номер_темы"/>
    <tableColumn id="1" name="Наименование_темы"/>
    <tableColumn id="8" name="Внутренний номер темы" dataDxfId="214"/>
    <tableColumn id="2" name="Вид_научного_исследования"/>
    <tableColumn id="6" name="Стоимость_темы"/>
    <tableColumn id="4" name="Наименование_подразделения_НИСП"/>
    <tableColumn id="5" name="Руководитель НИСП" dataDxfId="21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Таблица1" displayName="Таблица1" ref="G1:K7" totalsRowShown="0">
  <autoFilter ref="G1:K7"/>
  <tableColumns count="5">
    <tableColumn id="1" name="Руководитель_ВТК" dataDxfId="97">
      <calculatedColumnFormula>G1-0.05</calculatedColumnFormula>
    </tableColumn>
    <tableColumn id="5" name="Ответственный_исполнитель" dataDxfId="96"/>
    <tableColumn id="2" name="Член_ВТК"/>
    <tableColumn id="3" name="Вакансия"/>
    <tableColumn id="4" name="Член_ВТК_внешний_эксперт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CP10" totalsRowShown="0" headerRowDxfId="95" dataDxfId="94">
  <autoFilter ref="A1:CP10"/>
  <tableColumns count="94">
    <tableColumn id="1" name="Аспирант" dataDxfId="93"/>
    <tableColumn id="2" name="Ассистент" dataDxfId="92"/>
    <tableColumn id="3" name="Ведущий_консультант" dataDxfId="91"/>
    <tableColumn id="4" name="Ведущий_научный_сотрудник" dataDxfId="90"/>
    <tableColumn id="5" name="Ведущий_специалист" dataDxfId="89"/>
    <tableColumn id="6" name="Внешний_эксперт_Без_степени" dataDxfId="88"/>
    <tableColumn id="7" name="Внешний_эксперт_Доктор_наук" dataDxfId="87"/>
    <tableColumn id="8" name="Внешний_эксперт_Кандидат_наук" dataDxfId="86"/>
    <tableColumn id="9" name="Главный_консультант" dataDxfId="85"/>
    <tableColumn id="10" name="Главный_научный_сотрудник" dataDxfId="84"/>
    <tableColumn id="11" name="Главный_специалист" dataDxfId="83"/>
    <tableColumn id="12" name="Декан_факультета_Без_степени" dataDxfId="82"/>
    <tableColumn id="13" name="Декан_факультета_Доктор_наук" dataDxfId="81"/>
    <tableColumn id="14" name="Декан_факультета_Кандидат_наук" dataDxfId="80"/>
    <tableColumn id="15" name="Директор_института_АУП_Без_степени" dataDxfId="79"/>
    <tableColumn id="16" name="Директор_института_АУП_Доктор_наук" dataDxfId="78"/>
    <tableColumn id="17" name="Директор_института_АУП_Кандидат_наук" dataDxfId="77"/>
    <tableColumn id="18" name="Директор_института_НР_Без_степени" dataDxfId="76"/>
    <tableColumn id="19" name="Директор_института_НР_Доктор_наук" dataDxfId="75"/>
    <tableColumn id="20" name="Директор_института_НР_Кандидат_наук" dataDxfId="74"/>
    <tableColumn id="21" name="Директор_центра_АУП_Без_степени" dataDxfId="73"/>
    <tableColumn id="22" name="Директор_центра_АУП_Доктор_наук" dataDxfId="72"/>
    <tableColumn id="23" name="Директор_центра_АУП_Кандидат_наук" dataDxfId="71"/>
    <tableColumn id="24" name="Директор_центра_НР_Без_степени" dataDxfId="70"/>
    <tableColumn id="25" name="Директор_центра_НР_Доктор_наук" dataDxfId="69"/>
    <tableColumn id="26" name="Директор_центра_НР_Кандидат_наук" dataDxfId="68"/>
    <tableColumn id="27" name="Доцент" dataDxfId="67"/>
    <tableColumn id="28" name="Заведующий_кафедрой_Без_степени" dataDxfId="66"/>
    <tableColumn id="29" name="Заведующий_кафедрой_Доктор_наук" dataDxfId="65"/>
    <tableColumn id="30" name="Заведующий_кафедрой_Кандидат_наук" dataDxfId="64"/>
    <tableColumn id="31" name="Заведующий_лабораторией_Без_степени" dataDxfId="63"/>
    <tableColumn id="32" name="Заведующий_лабораторией_Доктор_наук" dataDxfId="62"/>
    <tableColumn id="33" name="Заведующий_лабораторией_Кандидат_наук" dataDxfId="61"/>
    <tableColumn id="34" name="Заместитель_декана_по_направлениям_Без_степени" dataDxfId="60"/>
    <tableColumn id="35" name="Заместитель_декана_по_направлениям_Доктор_наук" dataDxfId="59"/>
    <tableColumn id="36" name="Заместитель_декана_по_направлениям_Кандидат_наук" dataDxfId="58"/>
    <tableColumn id="37" name="Заместитель_директора_института_АУП_Без_степени" dataDxfId="57"/>
    <tableColumn id="38" name="Заместитель_директора_института_АУП_Доктор_наук" dataDxfId="56"/>
    <tableColumn id="39" name="Заместитель_директора_института_АУП_Кандидат_наук" dataDxfId="55"/>
    <tableColumn id="90" name="Заместитель_директора_института_НР_Без_степени" dataDxfId="54"/>
    <tableColumn id="89" name="Заместитель_директора_института_НР_Доктор_наук" dataDxfId="53"/>
    <tableColumn id="88" name="Заместитель_директора_института_НР_Кандидат_наук" dataDxfId="52"/>
    <tableColumn id="40" name="Заместитель_директора_центра_АУП_Без_степени" dataDxfId="51"/>
    <tableColumn id="41" name="Заместитель_директора_центра_АУП_Доктор_наук" dataDxfId="50"/>
    <tableColumn id="42" name="Заместитель_директора_центра_АУП_Кандидат_наук" dataDxfId="49"/>
    <tableColumn id="43" name="Заместитель_директора_центра_НР_Без_степени" dataDxfId="48"/>
    <tableColumn id="44" name="Заместитель_директора_центра_НР_Доктор_наук" dataDxfId="47"/>
    <tableColumn id="45" name="Заместитель_директора_центра_НР_Кандидат_наук" dataDxfId="46"/>
    <tableColumn id="46" name="Заместитель_заведующего_кафедрой_Без_степени" dataDxfId="45"/>
    <tableColumn id="47" name="Заместитель_заведующего_кафедрой_Доктор_наук" dataDxfId="44"/>
    <tableColumn id="48" name="Заместитель_заведующего_кафедрой_Кандидат_наук" dataDxfId="43"/>
    <tableColumn id="49" name="Заместитель_заведующего_лабораторией_Без_степени" dataDxfId="42"/>
    <tableColumn id="50" name="Заместитель_научного_руководителя_Без_степени" dataDxfId="41"/>
    <tableColumn id="51" name="Заместитель_научного_руководителя_Доктор_наук" dataDxfId="40"/>
    <tableColumn id="52" name="Заместитель_научного_руководителя_Кандидат_наук" dataDxfId="39"/>
    <tableColumn id="53" name="Заместитель_начальника_отдела_Без_степени" dataDxfId="38"/>
    <tableColumn id="54" name="Заместитель_начальника_управления_Без_степени" dataDxfId="37"/>
    <tableColumn id="55" name="Заместитель_руководителя_учебно_научного_департамента_Без_степени" dataDxfId="36"/>
    <tableColumn id="56" name="Заместитель_руководителя_учебно_научного_департамента_Доктор_наук" dataDxfId="35"/>
    <tableColumn id="57" name="Заместитель_руководителя_учебно_научного_департамента_Кандидат_наук" dataDxfId="34"/>
    <tableColumn id="58" name="Заместитель_руководителя_службы_Без_степени" dataDxfId="33"/>
    <tableColumn id="59" name="Консультант" dataDxfId="32"/>
    <tableColumn id="60" name="Лаборант_исследователь" dataDxfId="31"/>
    <tableColumn id="61" name="Младший_научный_сотрудник" dataDxfId="30"/>
    <tableColumn id="62" name="Научный_руководитель" dataDxfId="29"/>
    <tableColumn id="63" name="Научный_сотрудник" dataDxfId="28"/>
    <tableColumn id="64" name="Начальник_отдела_Без_степени" dataDxfId="27"/>
    <tableColumn id="65" name="Начальник_управления_Без_степени" dataDxfId="26"/>
    <tableColumn id="66" name="Первый_заместитель_декана_Без_степени" dataDxfId="25"/>
    <tableColumn id="67" name="Первый_заместитель_декана_Доктор_наук" dataDxfId="24"/>
    <tableColumn id="68" name="Первый_заместитель_декана_Кандидат_наук" dataDxfId="23"/>
    <tableColumn id="69" name="Первый_заместитель_руководителя_департамента_Без_степени" dataDxfId="22"/>
    <tableColumn id="70" name="Первый_заместитель_руководителя_департамента_Доктор_наук" dataDxfId="21"/>
    <tableColumn id="71" name="Первый_заместитель_руководителя_департамента_Кандидат_наук" dataDxfId="20"/>
    <tableColumn id="72" name="Помощник_по_направлениям_Без_степени" dataDxfId="19"/>
    <tableColumn id="73" name="Президент_Доктор_наук" dataDxfId="18"/>
    <tableColumn id="74" name="Преподаватель" dataDxfId="17"/>
    <tableColumn id="75" name="Профессор" dataDxfId="16"/>
    <tableColumn id="76" name="Профессор_исследователь_Без_степени" dataDxfId="15"/>
    <tableColumn id="92" name="Профессор_исследователь_Доктор_наук" dataDxfId="14"/>
    <tableColumn id="91" name="Профессор_исследователь_Кандидат_наук" dataDxfId="13"/>
    <tableColumn id="77" name="Профессор_консультант_Без_степени" dataDxfId="12"/>
    <tableColumn id="94" name="Профессор_консультант_Доктор_наук" dataDxfId="11"/>
    <tableColumn id="93" name="Профессор_консультант_Кандидат_наук" dataDxfId="10"/>
    <tableColumn id="78" name="Руководитель_учебно_научного_департамента_Без_степени" dataDxfId="9"/>
    <tableColumn id="79" name="Руководитель_учебно_научного_департамента_Доктор_наук" dataDxfId="8"/>
    <tableColumn id="80" name="Руководитель_учебно_научного_департамента_Кандидат_наук" dataDxfId="7"/>
    <tableColumn id="81" name="Руководитель_службы_Без_степени" dataDxfId="6"/>
    <tableColumn id="82" name="Советник" dataDxfId="5"/>
    <tableColumn id="83" name="Специалист" dataDxfId="4"/>
    <tableColumn id="84" name="Стажер_исследователь" dataDxfId="3"/>
    <tableColumn id="85" name="Старший_научный_сотрудник" dataDxfId="2"/>
    <tableColumn id="86" name="Старший_преподаватель" dataDxfId="1"/>
    <tableColumn id="87" name="Студен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106"/>
  <sheetViews>
    <sheetView zoomScale="115" zoomScaleNormal="115" zoomScaleSheetLayoutView="70" workbookViewId="0">
      <selection activeCell="A102" sqref="A102"/>
    </sheetView>
  </sheetViews>
  <sheetFormatPr defaultRowHeight="15" x14ac:dyDescent="0.25"/>
  <cols>
    <col min="1" max="1" width="160.42578125" style="1" customWidth="1"/>
    <col min="2" max="16384" width="9.140625" style="1"/>
  </cols>
  <sheetData>
    <row r="1" spans="1:1" ht="18.75" x14ac:dyDescent="0.25">
      <c r="A1" s="750" t="s">
        <v>565</v>
      </c>
    </row>
    <row r="2" spans="1:1" ht="22.5" x14ac:dyDescent="0.25">
      <c r="A2" s="750" t="s">
        <v>566</v>
      </c>
    </row>
    <row r="3" spans="1:1" x14ac:dyDescent="0.25">
      <c r="A3" s="137"/>
    </row>
    <row r="4" spans="1:1" x14ac:dyDescent="0.25">
      <c r="A4" s="137" t="s">
        <v>567</v>
      </c>
    </row>
    <row r="5" spans="1:1" x14ac:dyDescent="0.25">
      <c r="A5" s="137"/>
    </row>
    <row r="6" spans="1:1" x14ac:dyDescent="0.25">
      <c r="A6" s="137" t="s">
        <v>568</v>
      </c>
    </row>
    <row r="7" spans="1:1" x14ac:dyDescent="0.25">
      <c r="A7" s="137"/>
    </row>
    <row r="8" spans="1:1" x14ac:dyDescent="0.25">
      <c r="A8" s="137" t="s">
        <v>569</v>
      </c>
    </row>
    <row r="9" spans="1:1" x14ac:dyDescent="0.25">
      <c r="A9" s="137" t="s">
        <v>570</v>
      </c>
    </row>
    <row r="10" spans="1:1" ht="30" x14ac:dyDescent="0.25">
      <c r="A10" s="137" t="s">
        <v>571</v>
      </c>
    </row>
    <row r="11" spans="1:1" x14ac:dyDescent="0.25">
      <c r="A11" s="137" t="s">
        <v>572</v>
      </c>
    </row>
    <row r="12" spans="1:1" x14ac:dyDescent="0.25">
      <c r="A12" s="137" t="s">
        <v>573</v>
      </c>
    </row>
    <row r="13" spans="1:1" x14ac:dyDescent="0.25">
      <c r="A13" s="137" t="s">
        <v>574</v>
      </c>
    </row>
    <row r="14" spans="1:1" ht="30" x14ac:dyDescent="0.25">
      <c r="A14" s="137" t="s">
        <v>575</v>
      </c>
    </row>
    <row r="15" spans="1:1" x14ac:dyDescent="0.25">
      <c r="A15" s="137" t="s">
        <v>576</v>
      </c>
    </row>
    <row r="16" spans="1:1" ht="30" x14ac:dyDescent="0.25">
      <c r="A16" s="137" t="s">
        <v>577</v>
      </c>
    </row>
    <row r="17" spans="1:1" ht="30" x14ac:dyDescent="0.25">
      <c r="A17" s="137" t="s">
        <v>578</v>
      </c>
    </row>
    <row r="18" spans="1:1" x14ac:dyDescent="0.25">
      <c r="A18" s="137" t="s">
        <v>579</v>
      </c>
    </row>
    <row r="19" spans="1:1" x14ac:dyDescent="0.25">
      <c r="A19" s="137" t="s">
        <v>580</v>
      </c>
    </row>
    <row r="20" spans="1:1" ht="30" x14ac:dyDescent="0.25">
      <c r="A20" s="137" t="s">
        <v>899</v>
      </c>
    </row>
    <row r="21" spans="1:1" ht="30" x14ac:dyDescent="0.25">
      <c r="A21" s="137" t="s">
        <v>581</v>
      </c>
    </row>
    <row r="22" spans="1:1" x14ac:dyDescent="0.25">
      <c r="A22" s="137"/>
    </row>
    <row r="23" spans="1:1" x14ac:dyDescent="0.25">
      <c r="A23" s="137" t="s">
        <v>723</v>
      </c>
    </row>
    <row r="24" spans="1:1" x14ac:dyDescent="0.25">
      <c r="A24" s="137" t="s">
        <v>724</v>
      </c>
    </row>
    <row r="25" spans="1:1" x14ac:dyDescent="0.25">
      <c r="A25" s="137" t="s">
        <v>582</v>
      </c>
    </row>
    <row r="26" spans="1:1" x14ac:dyDescent="0.25">
      <c r="A26" s="137" t="s">
        <v>583</v>
      </c>
    </row>
    <row r="27" spans="1:1" ht="45" x14ac:dyDescent="0.25">
      <c r="A27" s="137" t="s">
        <v>900</v>
      </c>
    </row>
    <row r="28" spans="1:1" x14ac:dyDescent="0.25">
      <c r="A28" s="137"/>
    </row>
    <row r="29" spans="1:1" x14ac:dyDescent="0.25">
      <c r="A29" s="137" t="s">
        <v>828</v>
      </c>
    </row>
    <row r="30" spans="1:1" x14ac:dyDescent="0.25">
      <c r="A30" s="137" t="s">
        <v>584</v>
      </c>
    </row>
    <row r="31" spans="1:1" x14ac:dyDescent="0.25">
      <c r="A31" s="137" t="s">
        <v>585</v>
      </c>
    </row>
    <row r="32" spans="1:1" x14ac:dyDescent="0.25">
      <c r="A32" s="137" t="s">
        <v>586</v>
      </c>
    </row>
    <row r="33" spans="1:1" x14ac:dyDescent="0.25">
      <c r="A33" s="137" t="s">
        <v>587</v>
      </c>
    </row>
    <row r="34" spans="1:1" x14ac:dyDescent="0.25">
      <c r="A34" s="137" t="s">
        <v>588</v>
      </c>
    </row>
    <row r="35" spans="1:1" x14ac:dyDescent="0.25">
      <c r="A35" s="137"/>
    </row>
    <row r="36" spans="1:1" x14ac:dyDescent="0.25">
      <c r="A36" s="137" t="s">
        <v>589</v>
      </c>
    </row>
    <row r="37" spans="1:1" ht="30" x14ac:dyDescent="0.25">
      <c r="A37" s="137" t="s">
        <v>590</v>
      </c>
    </row>
    <row r="38" spans="1:1" x14ac:dyDescent="0.25">
      <c r="A38" s="137" t="s">
        <v>591</v>
      </c>
    </row>
    <row r="39" spans="1:1" x14ac:dyDescent="0.25">
      <c r="A39" s="137" t="s">
        <v>592</v>
      </c>
    </row>
    <row r="40" spans="1:1" x14ac:dyDescent="0.25">
      <c r="A40" s="137" t="s">
        <v>593</v>
      </c>
    </row>
    <row r="41" spans="1:1" x14ac:dyDescent="0.25">
      <c r="A41" s="137" t="s">
        <v>594</v>
      </c>
    </row>
    <row r="42" spans="1:1" x14ac:dyDescent="0.25">
      <c r="A42" s="137" t="s">
        <v>595</v>
      </c>
    </row>
    <row r="43" spans="1:1" x14ac:dyDescent="0.25">
      <c r="A43" s="137" t="s">
        <v>596</v>
      </c>
    </row>
    <row r="44" spans="1:1" x14ac:dyDescent="0.25">
      <c r="A44" s="137"/>
    </row>
    <row r="45" spans="1:1" x14ac:dyDescent="0.25">
      <c r="A45" s="137" t="s">
        <v>597</v>
      </c>
    </row>
    <row r="46" spans="1:1" x14ac:dyDescent="0.25">
      <c r="A46" s="137"/>
    </row>
    <row r="47" spans="1:1" ht="30" x14ac:dyDescent="0.25">
      <c r="A47" s="137" t="s">
        <v>598</v>
      </c>
    </row>
    <row r="48" spans="1:1" x14ac:dyDescent="0.25">
      <c r="A48" s="137"/>
    </row>
    <row r="49" spans="1:1" x14ac:dyDescent="0.25">
      <c r="A49" s="137" t="s">
        <v>599</v>
      </c>
    </row>
    <row r="50" spans="1:1" x14ac:dyDescent="0.25">
      <c r="A50" s="137" t="s">
        <v>600</v>
      </c>
    </row>
    <row r="51" spans="1:1" x14ac:dyDescent="0.25">
      <c r="A51" s="137" t="s">
        <v>601</v>
      </c>
    </row>
    <row r="52" spans="1:1" x14ac:dyDescent="0.25">
      <c r="A52" s="137" t="s">
        <v>602</v>
      </c>
    </row>
    <row r="53" spans="1:1" x14ac:dyDescent="0.25">
      <c r="A53" s="137" t="s">
        <v>603</v>
      </c>
    </row>
    <row r="54" spans="1:1" x14ac:dyDescent="0.25">
      <c r="A54" s="137"/>
    </row>
    <row r="55" spans="1:1" ht="45" x14ac:dyDescent="0.25">
      <c r="A55" s="137" t="s">
        <v>604</v>
      </c>
    </row>
    <row r="56" spans="1:1" x14ac:dyDescent="0.25">
      <c r="A56" s="137"/>
    </row>
    <row r="57" spans="1:1" ht="60" x14ac:dyDescent="0.25">
      <c r="A57" s="137" t="s">
        <v>901</v>
      </c>
    </row>
    <row r="58" spans="1:1" x14ac:dyDescent="0.25">
      <c r="A58" s="137"/>
    </row>
    <row r="59" spans="1:1" x14ac:dyDescent="0.25">
      <c r="A59" s="137" t="s">
        <v>605</v>
      </c>
    </row>
    <row r="60" spans="1:1" x14ac:dyDescent="0.25">
      <c r="A60" s="137" t="s">
        <v>606</v>
      </c>
    </row>
    <row r="61" spans="1:1" x14ac:dyDescent="0.25">
      <c r="A61" s="137" t="s">
        <v>607</v>
      </c>
    </row>
    <row r="62" spans="1:1" x14ac:dyDescent="0.25">
      <c r="A62" s="137" t="s">
        <v>608</v>
      </c>
    </row>
    <row r="63" spans="1:1" x14ac:dyDescent="0.25">
      <c r="A63" s="137" t="s">
        <v>609</v>
      </c>
    </row>
    <row r="64" spans="1:1" x14ac:dyDescent="0.25">
      <c r="A64" s="137"/>
    </row>
    <row r="65" spans="1:1" x14ac:dyDescent="0.25">
      <c r="A65" s="137" t="s">
        <v>610</v>
      </c>
    </row>
    <row r="66" spans="1:1" x14ac:dyDescent="0.25">
      <c r="A66" s="137" t="s">
        <v>611</v>
      </c>
    </row>
    <row r="67" spans="1:1" x14ac:dyDescent="0.25">
      <c r="A67" s="137" t="s">
        <v>612</v>
      </c>
    </row>
    <row r="68" spans="1:1" x14ac:dyDescent="0.25">
      <c r="A68" s="137"/>
    </row>
    <row r="69" spans="1:1" ht="45" x14ac:dyDescent="0.25">
      <c r="A69" s="137" t="s">
        <v>613</v>
      </c>
    </row>
    <row r="70" spans="1:1" x14ac:dyDescent="0.25">
      <c r="A70" s="137"/>
    </row>
    <row r="71" spans="1:1" x14ac:dyDescent="0.25">
      <c r="A71" s="137" t="s">
        <v>614</v>
      </c>
    </row>
    <row r="72" spans="1:1" x14ac:dyDescent="0.25">
      <c r="A72" s="137"/>
    </row>
    <row r="73" spans="1:1" x14ac:dyDescent="0.25">
      <c r="A73" s="137" t="s">
        <v>554</v>
      </c>
    </row>
    <row r="74" spans="1:1" x14ac:dyDescent="0.25">
      <c r="A74" s="137" t="s">
        <v>407</v>
      </c>
    </row>
    <row r="75" spans="1:1" x14ac:dyDescent="0.25">
      <c r="A75" s="137" t="s">
        <v>408</v>
      </c>
    </row>
    <row r="76" spans="1:1" x14ac:dyDescent="0.25">
      <c r="A76" s="137" t="s">
        <v>409</v>
      </c>
    </row>
    <row r="77" spans="1:1" x14ac:dyDescent="0.25">
      <c r="A77" s="137"/>
    </row>
    <row r="78" spans="1:1" x14ac:dyDescent="0.25">
      <c r="A78" s="137" t="s">
        <v>497</v>
      </c>
    </row>
    <row r="79" spans="1:1" x14ac:dyDescent="0.25">
      <c r="A79" s="137" t="s">
        <v>410</v>
      </c>
    </row>
    <row r="80" spans="1:1" x14ac:dyDescent="0.25">
      <c r="A80" s="137" t="s">
        <v>411</v>
      </c>
    </row>
    <row r="81" spans="1:1" x14ac:dyDescent="0.25">
      <c r="A81" s="137" t="s">
        <v>725</v>
      </c>
    </row>
    <row r="82" spans="1:1" x14ac:dyDescent="0.25">
      <c r="A82" s="137" t="s">
        <v>412</v>
      </c>
    </row>
    <row r="83" spans="1:1" x14ac:dyDescent="0.25">
      <c r="A83" s="137" t="s">
        <v>615</v>
      </c>
    </row>
    <row r="84" spans="1:1" x14ac:dyDescent="0.25">
      <c r="A84" s="137" t="s">
        <v>616</v>
      </c>
    </row>
    <row r="85" spans="1:1" x14ac:dyDescent="0.25">
      <c r="A85" s="137" t="s">
        <v>617</v>
      </c>
    </row>
    <row r="86" spans="1:1" x14ac:dyDescent="0.25">
      <c r="A86" s="137"/>
    </row>
    <row r="87" spans="1:1" ht="27.75" customHeight="1" x14ac:dyDescent="0.25">
      <c r="A87" s="749" t="s">
        <v>618</v>
      </c>
    </row>
    <row r="88" spans="1:1" ht="45.75" x14ac:dyDescent="0.25">
      <c r="A88" s="697" t="s">
        <v>619</v>
      </c>
    </row>
    <row r="89" spans="1:1" x14ac:dyDescent="0.25">
      <c r="A89" s="697" t="s">
        <v>620</v>
      </c>
    </row>
    <row r="90" spans="1:1" ht="45" x14ac:dyDescent="0.25">
      <c r="A90" s="697" t="s">
        <v>621</v>
      </c>
    </row>
    <row r="91" spans="1:1" ht="30.75" x14ac:dyDescent="0.25">
      <c r="A91" s="697" t="s">
        <v>916</v>
      </c>
    </row>
    <row r="92" spans="1:1" ht="45.75" x14ac:dyDescent="0.25">
      <c r="A92" s="697" t="s">
        <v>902</v>
      </c>
    </row>
    <row r="93" spans="1:1" ht="30" x14ac:dyDescent="0.25">
      <c r="A93" s="697" t="s">
        <v>903</v>
      </c>
    </row>
    <row r="94" spans="1:1" ht="30" x14ac:dyDescent="0.25">
      <c r="A94" s="697" t="s">
        <v>622</v>
      </c>
    </row>
    <row r="95" spans="1:1" ht="45" x14ac:dyDescent="0.25">
      <c r="A95" s="697" t="s">
        <v>623</v>
      </c>
    </row>
    <row r="96" spans="1:1" x14ac:dyDescent="0.25">
      <c r="A96" s="137"/>
    </row>
    <row r="97" spans="1:1" ht="45" x14ac:dyDescent="0.25">
      <c r="A97" s="749" t="s">
        <v>624</v>
      </c>
    </row>
    <row r="98" spans="1:1" ht="45.75" x14ac:dyDescent="0.25">
      <c r="A98" s="697" t="s">
        <v>625</v>
      </c>
    </row>
    <row r="99" spans="1:1" x14ac:dyDescent="0.25">
      <c r="A99" s="697" t="s">
        <v>626</v>
      </c>
    </row>
    <row r="100" spans="1:1" ht="45" x14ac:dyDescent="0.25">
      <c r="A100" s="697" t="s">
        <v>627</v>
      </c>
    </row>
    <row r="101" spans="1:1" ht="30.75" x14ac:dyDescent="0.25">
      <c r="A101" s="697" t="s">
        <v>917</v>
      </c>
    </row>
    <row r="102" spans="1:1" ht="34.5" customHeight="1" x14ac:dyDescent="0.25">
      <c r="A102" s="697" t="s">
        <v>904</v>
      </c>
    </row>
    <row r="103" spans="1:1" ht="45.75" x14ac:dyDescent="0.25">
      <c r="A103" s="697" t="s">
        <v>905</v>
      </c>
    </row>
    <row r="104" spans="1:1" ht="30" x14ac:dyDescent="0.25">
      <c r="A104" s="697" t="s">
        <v>906</v>
      </c>
    </row>
    <row r="105" spans="1:1" ht="30" x14ac:dyDescent="0.25">
      <c r="A105" s="697" t="s">
        <v>622</v>
      </c>
    </row>
    <row r="106" spans="1:1" ht="60" x14ac:dyDescent="0.25">
      <c r="A106" s="697" t="s">
        <v>628</v>
      </c>
    </row>
  </sheetData>
  <sheetProtection password="CF98" sheet="1" objects="1" scenarios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87"/>
  <sheetViews>
    <sheetView workbookViewId="0">
      <pane ySplit="1" topLeftCell="A2" activePane="bottomLeft" state="frozen"/>
      <selection pane="bottomLeft" activeCell="E70" sqref="E70"/>
    </sheetView>
  </sheetViews>
  <sheetFormatPr defaultRowHeight="15" x14ac:dyDescent="0.25"/>
  <cols>
    <col min="1" max="1" width="22" bestFit="1" customWidth="1"/>
    <col min="2" max="2" width="48.85546875" customWidth="1"/>
    <col min="3" max="3" width="18.28515625" style="3" bestFit="1" customWidth="1"/>
    <col min="4" max="4" width="36.28515625" bestFit="1" customWidth="1"/>
    <col min="5" max="5" width="23.85546875" bestFit="1" customWidth="1"/>
    <col min="6" max="6" width="54.7109375" bestFit="1" customWidth="1"/>
    <col min="7" max="7" width="30.140625" bestFit="1" customWidth="1"/>
    <col min="8" max="8" width="24.85546875" customWidth="1"/>
  </cols>
  <sheetData>
    <row r="1" spans="1:7" ht="31.5" x14ac:dyDescent="0.25">
      <c r="A1" s="159" t="s">
        <v>261</v>
      </c>
      <c r="B1" s="158" t="s">
        <v>259</v>
      </c>
      <c r="C1" s="159" t="s">
        <v>829</v>
      </c>
      <c r="D1" s="159" t="s">
        <v>260</v>
      </c>
      <c r="E1" s="159" t="s">
        <v>263</v>
      </c>
      <c r="F1" s="160" t="s">
        <v>262</v>
      </c>
      <c r="G1" s="160" t="s">
        <v>191</v>
      </c>
    </row>
    <row r="2" spans="1:7" x14ac:dyDescent="0.25">
      <c r="A2" s="441" t="s">
        <v>795</v>
      </c>
      <c r="B2" s="442" t="s">
        <v>716</v>
      </c>
      <c r="C2" s="443" t="s">
        <v>871</v>
      </c>
      <c r="D2" s="443" t="s">
        <v>216</v>
      </c>
      <c r="E2" s="444">
        <v>9696182.8399999999</v>
      </c>
      <c r="F2" s="445" t="s">
        <v>727</v>
      </c>
      <c r="G2" s="445" t="s">
        <v>728</v>
      </c>
    </row>
    <row r="3" spans="1:7" ht="36" x14ac:dyDescent="0.25">
      <c r="A3" s="441" t="s">
        <v>796</v>
      </c>
      <c r="B3" s="442" t="s">
        <v>717</v>
      </c>
      <c r="C3" s="443" t="s">
        <v>872</v>
      </c>
      <c r="D3" s="443" t="s">
        <v>216</v>
      </c>
      <c r="E3" s="444">
        <v>13921478.060000001</v>
      </c>
      <c r="F3" s="445" t="s">
        <v>797</v>
      </c>
      <c r="G3" s="445" t="s">
        <v>798</v>
      </c>
    </row>
    <row r="4" spans="1:7" ht="25.5" x14ac:dyDescent="0.25">
      <c r="A4" s="441" t="s">
        <v>799</v>
      </c>
      <c r="B4" s="442" t="s">
        <v>718</v>
      </c>
      <c r="C4" s="443" t="s">
        <v>873</v>
      </c>
      <c r="D4" s="443" t="s">
        <v>216</v>
      </c>
      <c r="E4" s="444">
        <v>9334457.2599999998</v>
      </c>
      <c r="F4" s="445" t="s">
        <v>797</v>
      </c>
      <c r="G4" s="445" t="s">
        <v>798</v>
      </c>
    </row>
    <row r="5" spans="1:7" ht="38.25" x14ac:dyDescent="0.25">
      <c r="A5" s="441" t="s">
        <v>800</v>
      </c>
      <c r="B5" s="442" t="s">
        <v>719</v>
      </c>
      <c r="C5" s="443" t="s">
        <v>874</v>
      </c>
      <c r="D5" s="443" t="s">
        <v>216</v>
      </c>
      <c r="E5" s="560">
        <v>9879332.9600000009</v>
      </c>
      <c r="F5" s="173" t="s">
        <v>754</v>
      </c>
      <c r="G5" s="445" t="s">
        <v>755</v>
      </c>
    </row>
    <row r="6" spans="1:7" ht="25.5" x14ac:dyDescent="0.25">
      <c r="A6" s="441" t="s">
        <v>801</v>
      </c>
      <c r="B6" s="442" t="s">
        <v>242</v>
      </c>
      <c r="C6" s="443" t="s">
        <v>875</v>
      </c>
      <c r="D6" s="443" t="s">
        <v>216</v>
      </c>
      <c r="E6" s="444">
        <v>24345273</v>
      </c>
      <c r="F6" s="174" t="s">
        <v>733</v>
      </c>
      <c r="G6" s="445" t="s">
        <v>734</v>
      </c>
    </row>
    <row r="7" spans="1:7" ht="24" x14ac:dyDescent="0.25">
      <c r="A7" s="441" t="s">
        <v>802</v>
      </c>
      <c r="B7" s="442" t="s">
        <v>241</v>
      </c>
      <c r="C7" s="443" t="s">
        <v>876</v>
      </c>
      <c r="D7" s="443" t="s">
        <v>216</v>
      </c>
      <c r="E7" s="444">
        <v>19938224.859999999</v>
      </c>
      <c r="F7" s="173" t="s">
        <v>743</v>
      </c>
      <c r="G7" s="445" t="s">
        <v>744</v>
      </c>
    </row>
    <row r="8" spans="1:7" x14ac:dyDescent="0.25">
      <c r="A8" s="441" t="s">
        <v>803</v>
      </c>
      <c r="B8" s="442" t="s">
        <v>244</v>
      </c>
      <c r="C8" s="443" t="s">
        <v>877</v>
      </c>
      <c r="D8" s="443" t="s">
        <v>216</v>
      </c>
      <c r="E8" s="444">
        <v>10274362.630000001</v>
      </c>
      <c r="F8" s="174" t="s">
        <v>727</v>
      </c>
      <c r="G8" s="445" t="s">
        <v>728</v>
      </c>
    </row>
    <row r="9" spans="1:7" ht="25.5" x14ac:dyDescent="0.25">
      <c r="A9" s="441" t="s">
        <v>804</v>
      </c>
      <c r="B9" s="442" t="s">
        <v>720</v>
      </c>
      <c r="C9" s="443" t="s">
        <v>878</v>
      </c>
      <c r="D9" s="443" t="s">
        <v>216</v>
      </c>
      <c r="E9" s="444">
        <v>19877174.82</v>
      </c>
      <c r="F9" s="174" t="s">
        <v>740</v>
      </c>
      <c r="G9" s="445" t="s">
        <v>741</v>
      </c>
    </row>
    <row r="10" spans="1:7" ht="48" x14ac:dyDescent="0.25">
      <c r="A10" s="441" t="s">
        <v>805</v>
      </c>
      <c r="B10" s="442" t="s">
        <v>247</v>
      </c>
      <c r="C10" s="443" t="s">
        <v>879</v>
      </c>
      <c r="D10" s="443" t="s">
        <v>216</v>
      </c>
      <c r="E10" s="444">
        <v>9882924.1400000006</v>
      </c>
      <c r="F10" s="174" t="s">
        <v>765</v>
      </c>
      <c r="G10" s="445" t="s">
        <v>766</v>
      </c>
    </row>
    <row r="11" spans="1:7" ht="25.5" x14ac:dyDescent="0.25">
      <c r="A11" s="441" t="s">
        <v>806</v>
      </c>
      <c r="B11" s="442" t="s">
        <v>249</v>
      </c>
      <c r="C11" s="443" t="s">
        <v>880</v>
      </c>
      <c r="D11" s="443" t="s">
        <v>216</v>
      </c>
      <c r="E11" s="444">
        <v>9484303.2899999991</v>
      </c>
      <c r="F11" s="173" t="s">
        <v>730</v>
      </c>
      <c r="G11" s="445" t="s">
        <v>731</v>
      </c>
    </row>
    <row r="12" spans="1:7" ht="25.5" x14ac:dyDescent="0.25">
      <c r="A12" s="441" t="s">
        <v>807</v>
      </c>
      <c r="B12" s="442" t="s">
        <v>250</v>
      </c>
      <c r="C12" s="443" t="s">
        <v>881</v>
      </c>
      <c r="D12" s="443" t="s">
        <v>216</v>
      </c>
      <c r="E12" s="444">
        <v>18394017.960000001</v>
      </c>
      <c r="F12" s="174" t="s">
        <v>768</v>
      </c>
      <c r="G12" s="445" t="s">
        <v>769</v>
      </c>
    </row>
    <row r="13" spans="1:7" ht="25.5" x14ac:dyDescent="0.25">
      <c r="A13" s="441" t="s">
        <v>808</v>
      </c>
      <c r="B13" s="442" t="s">
        <v>243</v>
      </c>
      <c r="C13" s="443" t="s">
        <v>882</v>
      </c>
      <c r="D13" s="443" t="s">
        <v>216</v>
      </c>
      <c r="E13" s="444">
        <v>10274362.630000001</v>
      </c>
      <c r="F13" s="173" t="s">
        <v>730</v>
      </c>
      <c r="G13" s="445" t="s">
        <v>731</v>
      </c>
    </row>
    <row r="14" spans="1:7" ht="25.5" x14ac:dyDescent="0.25">
      <c r="A14" s="441" t="s">
        <v>809</v>
      </c>
      <c r="B14" s="442" t="s">
        <v>721</v>
      </c>
      <c r="C14" s="443" t="s">
        <v>883</v>
      </c>
      <c r="D14" s="443" t="s">
        <v>216</v>
      </c>
      <c r="E14" s="444">
        <v>10274362.630000001</v>
      </c>
      <c r="F14" s="174" t="s">
        <v>737</v>
      </c>
      <c r="G14" s="445" t="s">
        <v>738</v>
      </c>
    </row>
    <row r="15" spans="1:7" ht="26.25" x14ac:dyDescent="0.25">
      <c r="A15" s="441" t="s">
        <v>810</v>
      </c>
      <c r="B15" s="442" t="s">
        <v>256</v>
      </c>
      <c r="C15" s="443" t="s">
        <v>884</v>
      </c>
      <c r="D15" s="443" t="s">
        <v>216</v>
      </c>
      <c r="E15" s="449">
        <v>10274362.630000001</v>
      </c>
      <c r="F15" s="447" t="s">
        <v>765</v>
      </c>
      <c r="G15" s="445" t="s">
        <v>766</v>
      </c>
    </row>
    <row r="16" spans="1:7" ht="36" x14ac:dyDescent="0.25">
      <c r="A16" s="441" t="s">
        <v>811</v>
      </c>
      <c r="B16" s="442" t="s">
        <v>722</v>
      </c>
      <c r="C16" s="443" t="s">
        <v>885</v>
      </c>
      <c r="D16" s="443" t="s">
        <v>216</v>
      </c>
      <c r="E16" s="449">
        <v>10274362.630000001</v>
      </c>
      <c r="F16" s="173" t="s">
        <v>746</v>
      </c>
      <c r="G16" s="450" t="s">
        <v>747</v>
      </c>
    </row>
    <row r="17" spans="1:7" ht="25.5" x14ac:dyDescent="0.25">
      <c r="A17" s="441" t="s">
        <v>812</v>
      </c>
      <c r="B17" s="442" t="s">
        <v>251</v>
      </c>
      <c r="C17" s="443" t="s">
        <v>886</v>
      </c>
      <c r="D17" s="443" t="s">
        <v>216</v>
      </c>
      <c r="E17" s="449">
        <v>10274362.630000001</v>
      </c>
      <c r="F17" s="450" t="s">
        <v>733</v>
      </c>
      <c r="G17" s="450" t="s">
        <v>734</v>
      </c>
    </row>
    <row r="18" spans="1:7" ht="25.5" x14ac:dyDescent="0.25">
      <c r="A18" s="441" t="s">
        <v>813</v>
      </c>
      <c r="B18" s="442" t="s">
        <v>245</v>
      </c>
      <c r="C18" s="443" t="s">
        <v>887</v>
      </c>
      <c r="D18" s="443" t="s">
        <v>216</v>
      </c>
      <c r="E18" s="449">
        <v>9484303.2899999991</v>
      </c>
      <c r="F18" s="174" t="s">
        <v>765</v>
      </c>
      <c r="G18" s="450" t="s">
        <v>766</v>
      </c>
    </row>
    <row r="19" spans="1:7" ht="38.25" x14ac:dyDescent="0.25">
      <c r="A19" s="441" t="s">
        <v>814</v>
      </c>
      <c r="B19" s="442" t="s">
        <v>239</v>
      </c>
      <c r="C19" s="443" t="s">
        <v>888</v>
      </c>
      <c r="D19" s="443" t="s">
        <v>216</v>
      </c>
      <c r="E19" s="449">
        <v>13272996.949999999</v>
      </c>
      <c r="F19" s="173" t="s">
        <v>754</v>
      </c>
      <c r="G19" s="450" t="s">
        <v>755</v>
      </c>
    </row>
    <row r="20" spans="1:7" ht="25.5" x14ac:dyDescent="0.25">
      <c r="A20" s="441" t="s">
        <v>815</v>
      </c>
      <c r="B20" s="442" t="s">
        <v>252</v>
      </c>
      <c r="C20" s="443" t="s">
        <v>889</v>
      </c>
      <c r="D20" s="443" t="s">
        <v>216</v>
      </c>
      <c r="E20" s="449">
        <v>10274362.630000001</v>
      </c>
      <c r="F20" s="174" t="s">
        <v>743</v>
      </c>
      <c r="G20" s="450" t="s">
        <v>744</v>
      </c>
    </row>
    <row r="21" spans="1:7" ht="25.5" x14ac:dyDescent="0.25">
      <c r="A21" s="441" t="s">
        <v>816</v>
      </c>
      <c r="B21" s="442" t="s">
        <v>258</v>
      </c>
      <c r="C21" s="443" t="s">
        <v>890</v>
      </c>
      <c r="D21" s="443" t="s">
        <v>216</v>
      </c>
      <c r="E21" s="449">
        <v>9882924.1400000006</v>
      </c>
      <c r="F21" s="173" t="s">
        <v>743</v>
      </c>
      <c r="G21" s="450" t="s">
        <v>744</v>
      </c>
    </row>
    <row r="22" spans="1:7" ht="36" x14ac:dyDescent="0.25">
      <c r="A22" s="441" t="s">
        <v>817</v>
      </c>
      <c r="B22" s="442" t="s">
        <v>255</v>
      </c>
      <c r="C22" s="443" t="s">
        <v>891</v>
      </c>
      <c r="D22" s="443" t="s">
        <v>216</v>
      </c>
      <c r="E22" s="449">
        <v>12885149.640000001</v>
      </c>
      <c r="F22" s="174" t="s">
        <v>757</v>
      </c>
      <c r="G22" s="450" t="s">
        <v>758</v>
      </c>
    </row>
    <row r="23" spans="1:7" ht="24" x14ac:dyDescent="0.25">
      <c r="A23" s="441" t="s">
        <v>818</v>
      </c>
      <c r="B23" s="442" t="s">
        <v>254</v>
      </c>
      <c r="C23" s="443" t="s">
        <v>892</v>
      </c>
      <c r="D23" s="443" t="s">
        <v>216</v>
      </c>
      <c r="E23" s="449">
        <v>24343774.629999999</v>
      </c>
      <c r="F23" s="173" t="s">
        <v>819</v>
      </c>
      <c r="G23" s="450" t="s">
        <v>820</v>
      </c>
    </row>
    <row r="24" spans="1:7" ht="39" x14ac:dyDescent="0.25">
      <c r="A24" s="441" t="s">
        <v>821</v>
      </c>
      <c r="B24" s="442" t="s">
        <v>248</v>
      </c>
      <c r="C24" s="443" t="s">
        <v>893</v>
      </c>
      <c r="D24" s="443" t="s">
        <v>216</v>
      </c>
      <c r="E24" s="449">
        <v>10274362.630000001</v>
      </c>
      <c r="F24" s="447" t="s">
        <v>771</v>
      </c>
      <c r="G24" s="445" t="s">
        <v>772</v>
      </c>
    </row>
    <row r="25" spans="1:7" ht="25.5" x14ac:dyDescent="0.25">
      <c r="A25" s="441" t="s">
        <v>822</v>
      </c>
      <c r="B25" s="442" t="s">
        <v>253</v>
      </c>
      <c r="C25" s="443" t="s">
        <v>894</v>
      </c>
      <c r="D25" s="443" t="s">
        <v>216</v>
      </c>
      <c r="E25" s="449">
        <v>21611714.190000001</v>
      </c>
      <c r="F25" s="173" t="s">
        <v>733</v>
      </c>
      <c r="G25" s="450" t="s">
        <v>734</v>
      </c>
    </row>
    <row r="26" spans="1:7" ht="38.25" x14ac:dyDescent="0.25">
      <c r="A26" s="441" t="s">
        <v>823</v>
      </c>
      <c r="B26" s="442" t="s">
        <v>257</v>
      </c>
      <c r="C26" s="443" t="s">
        <v>895</v>
      </c>
      <c r="D26" s="443" t="s">
        <v>216</v>
      </c>
      <c r="E26" s="449">
        <v>9484303.2899999991</v>
      </c>
      <c r="F26" s="174" t="s">
        <v>776</v>
      </c>
      <c r="G26" s="450" t="s">
        <v>777</v>
      </c>
    </row>
    <row r="27" spans="1:7" ht="25.5" x14ac:dyDescent="0.25">
      <c r="A27" s="441" t="s">
        <v>824</v>
      </c>
      <c r="B27" s="442" t="s">
        <v>825</v>
      </c>
      <c r="C27" s="443" t="s">
        <v>896</v>
      </c>
      <c r="D27" s="443" t="s">
        <v>216</v>
      </c>
      <c r="E27" s="449">
        <v>10274362.630000001</v>
      </c>
      <c r="F27" s="173" t="s">
        <v>730</v>
      </c>
      <c r="G27" s="450" t="s">
        <v>731</v>
      </c>
    </row>
    <row r="28" spans="1:7" ht="24" x14ac:dyDescent="0.25">
      <c r="A28" s="441" t="s">
        <v>826</v>
      </c>
      <c r="B28" s="442" t="s">
        <v>246</v>
      </c>
      <c r="C28" s="443" t="s">
        <v>897</v>
      </c>
      <c r="D28" s="443" t="s">
        <v>216</v>
      </c>
      <c r="E28" s="449">
        <v>10274362.630000001</v>
      </c>
      <c r="F28" s="174" t="s">
        <v>727</v>
      </c>
      <c r="G28" s="450" t="s">
        <v>728</v>
      </c>
    </row>
    <row r="29" spans="1:7" ht="38.25" x14ac:dyDescent="0.25">
      <c r="A29" s="441" t="s">
        <v>827</v>
      </c>
      <c r="B29" s="442" t="s">
        <v>240</v>
      </c>
      <c r="C29" s="443" t="s">
        <v>898</v>
      </c>
      <c r="D29" s="443" t="s">
        <v>216</v>
      </c>
      <c r="E29" s="449">
        <v>9622104.1799999997</v>
      </c>
      <c r="F29" s="450" t="s">
        <v>776</v>
      </c>
      <c r="G29" s="450" t="s">
        <v>777</v>
      </c>
    </row>
    <row r="30" spans="1:7" ht="48" x14ac:dyDescent="0.25">
      <c r="A30" s="441" t="s">
        <v>726</v>
      </c>
      <c r="B30" s="442" t="s">
        <v>675</v>
      </c>
      <c r="C30" s="443" t="s">
        <v>830</v>
      </c>
      <c r="D30" s="443" t="s">
        <v>210</v>
      </c>
      <c r="E30" s="444">
        <v>12849483.07</v>
      </c>
      <c r="F30" s="445" t="s">
        <v>727</v>
      </c>
      <c r="G30" s="445" t="s">
        <v>728</v>
      </c>
    </row>
    <row r="31" spans="1:7" ht="25.5" x14ac:dyDescent="0.25">
      <c r="A31" s="441" t="s">
        <v>729</v>
      </c>
      <c r="B31" s="442" t="s">
        <v>676</v>
      </c>
      <c r="C31" s="443" t="s">
        <v>831</v>
      </c>
      <c r="D31" s="443" t="s">
        <v>210</v>
      </c>
      <c r="E31" s="444">
        <v>12849483.07</v>
      </c>
      <c r="F31" s="445" t="s">
        <v>730</v>
      </c>
      <c r="G31" s="445" t="s">
        <v>731</v>
      </c>
    </row>
    <row r="32" spans="1:7" ht="25.5" x14ac:dyDescent="0.25">
      <c r="A32" s="441" t="s">
        <v>732</v>
      </c>
      <c r="B32" s="442" t="s">
        <v>677</v>
      </c>
      <c r="C32" s="443" t="s">
        <v>832</v>
      </c>
      <c r="D32" s="443" t="s">
        <v>210</v>
      </c>
      <c r="E32" s="444">
        <v>12849483.07</v>
      </c>
      <c r="F32" s="445" t="s">
        <v>733</v>
      </c>
      <c r="G32" s="445" t="s">
        <v>734</v>
      </c>
    </row>
    <row r="33" spans="1:7" x14ac:dyDescent="0.25">
      <c r="A33" s="441" t="s">
        <v>735</v>
      </c>
      <c r="B33" s="442" t="s">
        <v>678</v>
      </c>
      <c r="C33" s="443" t="s">
        <v>833</v>
      </c>
      <c r="D33" s="443" t="s">
        <v>210</v>
      </c>
      <c r="E33" s="444">
        <v>12849483.07</v>
      </c>
      <c r="F33" s="173" t="s">
        <v>727</v>
      </c>
      <c r="G33" s="445" t="s">
        <v>728</v>
      </c>
    </row>
    <row r="34" spans="1:7" ht="36" x14ac:dyDescent="0.25">
      <c r="A34" s="441" t="s">
        <v>736</v>
      </c>
      <c r="B34" s="442" t="s">
        <v>679</v>
      </c>
      <c r="C34" s="443" t="s">
        <v>834</v>
      </c>
      <c r="D34" s="443" t="s">
        <v>210</v>
      </c>
      <c r="E34" s="444">
        <v>12849483.07</v>
      </c>
      <c r="F34" s="445" t="s">
        <v>737</v>
      </c>
      <c r="G34" s="445" t="s">
        <v>738</v>
      </c>
    </row>
    <row r="35" spans="1:7" ht="36" x14ac:dyDescent="0.25">
      <c r="A35" s="441" t="s">
        <v>739</v>
      </c>
      <c r="B35" s="442" t="s">
        <v>680</v>
      </c>
      <c r="C35" s="443" t="s">
        <v>835</v>
      </c>
      <c r="D35" s="443" t="s">
        <v>210</v>
      </c>
      <c r="E35" s="444">
        <v>12849483.07</v>
      </c>
      <c r="F35" s="447" t="s">
        <v>740</v>
      </c>
      <c r="G35" s="445" t="s">
        <v>741</v>
      </c>
    </row>
    <row r="36" spans="1:7" ht="25.5" x14ac:dyDescent="0.25">
      <c r="A36" s="441" t="s">
        <v>742</v>
      </c>
      <c r="B36" s="442" t="s">
        <v>681</v>
      </c>
      <c r="C36" s="443" t="s">
        <v>836</v>
      </c>
      <c r="D36" s="443" t="s">
        <v>210</v>
      </c>
      <c r="E36" s="444">
        <v>12849483.07</v>
      </c>
      <c r="F36" s="445" t="s">
        <v>743</v>
      </c>
      <c r="G36" s="445" t="s">
        <v>744</v>
      </c>
    </row>
    <row r="37" spans="1:7" ht="60" x14ac:dyDescent="0.25">
      <c r="A37" s="441" t="s">
        <v>745</v>
      </c>
      <c r="B37" s="442" t="s">
        <v>682</v>
      </c>
      <c r="C37" s="443" t="s">
        <v>837</v>
      </c>
      <c r="D37" s="443" t="s">
        <v>210</v>
      </c>
      <c r="E37" s="444">
        <v>12849483.07</v>
      </c>
      <c r="F37" s="174" t="s">
        <v>746</v>
      </c>
      <c r="G37" s="445" t="s">
        <v>747</v>
      </c>
    </row>
    <row r="38" spans="1:7" ht="36" x14ac:dyDescent="0.25">
      <c r="A38" s="441" t="s">
        <v>748</v>
      </c>
      <c r="B38" s="442" t="s">
        <v>683</v>
      </c>
      <c r="C38" s="443" t="s">
        <v>838</v>
      </c>
      <c r="D38" s="443" t="s">
        <v>210</v>
      </c>
      <c r="E38" s="444">
        <v>12849483.07</v>
      </c>
      <c r="F38" s="174" t="s">
        <v>733</v>
      </c>
      <c r="G38" s="445" t="s">
        <v>734</v>
      </c>
    </row>
    <row r="39" spans="1:7" ht="26.25" x14ac:dyDescent="0.25">
      <c r="A39" s="441" t="s">
        <v>749</v>
      </c>
      <c r="B39" s="442" t="s">
        <v>684</v>
      </c>
      <c r="C39" s="443" t="s">
        <v>839</v>
      </c>
      <c r="D39" s="443" t="s">
        <v>210</v>
      </c>
      <c r="E39" s="444">
        <v>12849483.07</v>
      </c>
      <c r="F39" s="447" t="s">
        <v>733</v>
      </c>
      <c r="G39" s="445" t="s">
        <v>734</v>
      </c>
    </row>
    <row r="40" spans="1:7" ht="36" x14ac:dyDescent="0.25">
      <c r="A40" s="441" t="s">
        <v>750</v>
      </c>
      <c r="B40" s="442" t="s">
        <v>685</v>
      </c>
      <c r="C40" s="443" t="s">
        <v>840</v>
      </c>
      <c r="D40" s="443" t="s">
        <v>210</v>
      </c>
      <c r="E40" s="444">
        <v>12849483.07</v>
      </c>
      <c r="F40" s="445" t="s">
        <v>746</v>
      </c>
      <c r="G40" s="445" t="s">
        <v>747</v>
      </c>
    </row>
    <row r="41" spans="1:7" ht="24" x14ac:dyDescent="0.25">
      <c r="A41" s="441" t="s">
        <v>751</v>
      </c>
      <c r="B41" s="442" t="s">
        <v>686</v>
      </c>
      <c r="C41" s="443" t="s">
        <v>841</v>
      </c>
      <c r="D41" s="443" t="s">
        <v>210</v>
      </c>
      <c r="E41" s="444">
        <v>12849476.939999999</v>
      </c>
      <c r="F41" s="445" t="s">
        <v>727</v>
      </c>
      <c r="G41" s="445" t="s">
        <v>728</v>
      </c>
    </row>
    <row r="42" spans="1:7" ht="25.5" x14ac:dyDescent="0.25">
      <c r="A42" s="441" t="s">
        <v>752</v>
      </c>
      <c r="B42" s="442" t="s">
        <v>687</v>
      </c>
      <c r="C42" s="443" t="s">
        <v>842</v>
      </c>
      <c r="D42" s="443" t="s">
        <v>210</v>
      </c>
      <c r="E42" s="444">
        <v>12849483.07</v>
      </c>
      <c r="F42" s="445" t="s">
        <v>733</v>
      </c>
      <c r="G42" s="445" t="s">
        <v>734</v>
      </c>
    </row>
    <row r="43" spans="1:7" ht="38.25" x14ac:dyDescent="0.25">
      <c r="A43" s="441" t="s">
        <v>753</v>
      </c>
      <c r="B43" s="442" t="s">
        <v>688</v>
      </c>
      <c r="C43" s="443" t="s">
        <v>843</v>
      </c>
      <c r="D43" s="443" t="s">
        <v>210</v>
      </c>
      <c r="E43" s="444">
        <v>12849483.07</v>
      </c>
      <c r="F43" s="174" t="s">
        <v>754</v>
      </c>
      <c r="G43" s="445" t="s">
        <v>755</v>
      </c>
    </row>
    <row r="44" spans="1:7" ht="36" x14ac:dyDescent="0.25">
      <c r="A44" s="441" t="s">
        <v>756</v>
      </c>
      <c r="B44" s="442" t="s">
        <v>689</v>
      </c>
      <c r="C44" s="443" t="s">
        <v>844</v>
      </c>
      <c r="D44" s="443" t="s">
        <v>210</v>
      </c>
      <c r="E44" s="444">
        <v>12849483.07</v>
      </c>
      <c r="F44" s="445" t="s">
        <v>757</v>
      </c>
      <c r="G44" s="445" t="s">
        <v>758</v>
      </c>
    </row>
    <row r="45" spans="1:7" ht="36" x14ac:dyDescent="0.25">
      <c r="A45" s="557" t="s">
        <v>759</v>
      </c>
      <c r="B45" s="558" t="s">
        <v>690</v>
      </c>
      <c r="C45" s="443" t="s">
        <v>845</v>
      </c>
      <c r="D45" s="559" t="s">
        <v>210</v>
      </c>
      <c r="E45" s="560">
        <v>12849483.07</v>
      </c>
      <c r="F45" s="561" t="s">
        <v>733</v>
      </c>
      <c r="G45" s="561" t="s">
        <v>734</v>
      </c>
    </row>
    <row r="46" spans="1:7" ht="48" x14ac:dyDescent="0.25">
      <c r="A46" s="441" t="s">
        <v>760</v>
      </c>
      <c r="B46" s="442" t="s">
        <v>691</v>
      </c>
      <c r="C46" s="443" t="s">
        <v>846</v>
      </c>
      <c r="D46" s="443" t="s">
        <v>210</v>
      </c>
      <c r="E46" s="444">
        <v>12849483.07</v>
      </c>
      <c r="F46" s="445" t="s">
        <v>740</v>
      </c>
      <c r="G46" s="445" t="s">
        <v>741</v>
      </c>
    </row>
    <row r="47" spans="1:7" ht="24" x14ac:dyDescent="0.25">
      <c r="A47" s="441" t="s">
        <v>761</v>
      </c>
      <c r="B47" s="442" t="s">
        <v>692</v>
      </c>
      <c r="C47" s="443" t="s">
        <v>847</v>
      </c>
      <c r="D47" s="443" t="s">
        <v>210</v>
      </c>
      <c r="E47" s="444">
        <v>12849483.07</v>
      </c>
      <c r="F47" s="174" t="s">
        <v>727</v>
      </c>
      <c r="G47" s="445" t="s">
        <v>728</v>
      </c>
    </row>
    <row r="48" spans="1:7" ht="36" x14ac:dyDescent="0.25">
      <c r="A48" s="441" t="s">
        <v>762</v>
      </c>
      <c r="B48" s="442" t="s">
        <v>693</v>
      </c>
      <c r="C48" s="443" t="s">
        <v>848</v>
      </c>
      <c r="D48" s="443" t="s">
        <v>210</v>
      </c>
      <c r="E48" s="444">
        <v>12849483.07</v>
      </c>
      <c r="F48" s="445" t="s">
        <v>737</v>
      </c>
      <c r="G48" s="445" t="s">
        <v>738</v>
      </c>
    </row>
    <row r="49" spans="1:7" ht="26.25" x14ac:dyDescent="0.25">
      <c r="A49" s="441" t="s">
        <v>763</v>
      </c>
      <c r="B49" s="442" t="s">
        <v>694</v>
      </c>
      <c r="C49" s="443" t="s">
        <v>849</v>
      </c>
      <c r="D49" s="443" t="s">
        <v>210</v>
      </c>
      <c r="E49" s="444">
        <v>12849483.07</v>
      </c>
      <c r="F49" s="446" t="s">
        <v>733</v>
      </c>
      <c r="G49" s="445" t="s">
        <v>734</v>
      </c>
    </row>
    <row r="50" spans="1:7" ht="26.25" x14ac:dyDescent="0.25">
      <c r="A50" s="441" t="s">
        <v>764</v>
      </c>
      <c r="B50" s="442" t="s">
        <v>695</v>
      </c>
      <c r="C50" s="443" t="s">
        <v>850</v>
      </c>
      <c r="D50" s="443" t="s">
        <v>210</v>
      </c>
      <c r="E50" s="444">
        <v>12849483.07</v>
      </c>
      <c r="F50" s="447" t="s">
        <v>765</v>
      </c>
      <c r="G50" s="445" t="s">
        <v>766</v>
      </c>
    </row>
    <row r="51" spans="1:7" ht="48" x14ac:dyDescent="0.25">
      <c r="A51" s="441" t="s">
        <v>767</v>
      </c>
      <c r="B51" s="442" t="s">
        <v>696</v>
      </c>
      <c r="C51" s="443" t="s">
        <v>851</v>
      </c>
      <c r="D51" s="443" t="s">
        <v>210</v>
      </c>
      <c r="E51" s="444">
        <v>12849483.07</v>
      </c>
      <c r="F51" s="174" t="s">
        <v>768</v>
      </c>
      <c r="G51" s="445" t="s">
        <v>769</v>
      </c>
    </row>
    <row r="52" spans="1:7" ht="39" x14ac:dyDescent="0.25">
      <c r="A52" s="441" t="s">
        <v>770</v>
      </c>
      <c r="B52" s="442" t="s">
        <v>697</v>
      </c>
      <c r="C52" s="443" t="s">
        <v>852</v>
      </c>
      <c r="D52" s="443" t="s">
        <v>210</v>
      </c>
      <c r="E52" s="444">
        <v>12849483.07</v>
      </c>
      <c r="F52" s="447" t="s">
        <v>771</v>
      </c>
      <c r="G52" s="445" t="s">
        <v>772</v>
      </c>
    </row>
    <row r="53" spans="1:7" ht="26.25" x14ac:dyDescent="0.25">
      <c r="A53" s="441" t="s">
        <v>773</v>
      </c>
      <c r="B53" s="442" t="s">
        <v>698</v>
      </c>
      <c r="C53" s="443" t="s">
        <v>853</v>
      </c>
      <c r="D53" s="443" t="s">
        <v>210</v>
      </c>
      <c r="E53" s="444">
        <v>12849483.07</v>
      </c>
      <c r="F53" s="447" t="s">
        <v>737</v>
      </c>
      <c r="G53" s="445" t="s">
        <v>738</v>
      </c>
    </row>
    <row r="54" spans="1:7" ht="26.25" x14ac:dyDescent="0.25">
      <c r="A54" s="441" t="s">
        <v>774</v>
      </c>
      <c r="B54" s="442" t="s">
        <v>699</v>
      </c>
      <c r="C54" s="443" t="s">
        <v>854</v>
      </c>
      <c r="D54" s="443" t="s">
        <v>210</v>
      </c>
      <c r="E54" s="444">
        <v>12849483.07</v>
      </c>
      <c r="F54" s="447" t="s">
        <v>737</v>
      </c>
      <c r="G54" s="445" t="s">
        <v>738</v>
      </c>
    </row>
    <row r="55" spans="1:7" ht="38.25" x14ac:dyDescent="0.25">
      <c r="A55" s="441" t="s">
        <v>775</v>
      </c>
      <c r="B55" s="442" t="s">
        <v>700</v>
      </c>
      <c r="C55" s="443" t="s">
        <v>855</v>
      </c>
      <c r="D55" s="443" t="s">
        <v>210</v>
      </c>
      <c r="E55" s="444">
        <v>12849483.07</v>
      </c>
      <c r="F55" s="174" t="s">
        <v>776</v>
      </c>
      <c r="G55" s="445" t="s">
        <v>777</v>
      </c>
    </row>
    <row r="56" spans="1:7" ht="48" x14ac:dyDescent="0.25">
      <c r="A56" s="441" t="s">
        <v>778</v>
      </c>
      <c r="B56" s="442" t="s">
        <v>701</v>
      </c>
      <c r="C56" s="443" t="s">
        <v>856</v>
      </c>
      <c r="D56" s="443" t="s">
        <v>210</v>
      </c>
      <c r="E56" s="444">
        <v>12849483.07</v>
      </c>
      <c r="F56" s="447" t="s">
        <v>757</v>
      </c>
      <c r="G56" s="445" t="s">
        <v>758</v>
      </c>
    </row>
    <row r="57" spans="1:7" ht="48" x14ac:dyDescent="0.25">
      <c r="A57" s="441" t="s">
        <v>779</v>
      </c>
      <c r="B57" s="442" t="s">
        <v>702</v>
      </c>
      <c r="C57" s="443" t="s">
        <v>857</v>
      </c>
      <c r="D57" s="443" t="s">
        <v>210</v>
      </c>
      <c r="E57" s="444">
        <v>12849483.07</v>
      </c>
      <c r="F57" s="174" t="s">
        <v>733</v>
      </c>
      <c r="G57" s="445" t="s">
        <v>734</v>
      </c>
    </row>
    <row r="58" spans="1:7" ht="48" x14ac:dyDescent="0.25">
      <c r="A58" s="441" t="s">
        <v>780</v>
      </c>
      <c r="B58" s="442" t="s">
        <v>703</v>
      </c>
      <c r="C58" s="443" t="s">
        <v>858</v>
      </c>
      <c r="D58" s="443" t="s">
        <v>210</v>
      </c>
      <c r="E58" s="444">
        <v>12849483.07</v>
      </c>
      <c r="F58" s="173" t="s">
        <v>768</v>
      </c>
      <c r="G58" s="445" t="s">
        <v>769</v>
      </c>
    </row>
    <row r="59" spans="1:7" ht="36" x14ac:dyDescent="0.25">
      <c r="A59" s="441" t="s">
        <v>781</v>
      </c>
      <c r="B59" s="442" t="s">
        <v>704</v>
      </c>
      <c r="C59" s="443" t="s">
        <v>859</v>
      </c>
      <c r="D59" s="443" t="s">
        <v>210</v>
      </c>
      <c r="E59" s="444">
        <v>12849483.07</v>
      </c>
      <c r="F59" s="174" t="s">
        <v>743</v>
      </c>
      <c r="G59" s="445" t="s">
        <v>744</v>
      </c>
    </row>
    <row r="60" spans="1:7" ht="36" x14ac:dyDescent="0.25">
      <c r="A60" s="441" t="s">
        <v>782</v>
      </c>
      <c r="B60" s="448" t="s">
        <v>705</v>
      </c>
      <c r="C60" s="443" t="s">
        <v>860</v>
      </c>
      <c r="D60" s="443" t="s">
        <v>210</v>
      </c>
      <c r="E60" s="444">
        <v>12849483.07</v>
      </c>
      <c r="F60" s="173" t="s">
        <v>727</v>
      </c>
      <c r="G60" s="445" t="s">
        <v>728</v>
      </c>
    </row>
    <row r="61" spans="1:7" ht="36" x14ac:dyDescent="0.25">
      <c r="A61" s="441" t="s">
        <v>783</v>
      </c>
      <c r="B61" s="442" t="s">
        <v>706</v>
      </c>
      <c r="C61" s="443" t="s">
        <v>861</v>
      </c>
      <c r="D61" s="443" t="s">
        <v>210</v>
      </c>
      <c r="E61" s="444">
        <v>12849483.07</v>
      </c>
      <c r="F61" s="173" t="s">
        <v>757</v>
      </c>
      <c r="G61" s="445" t="s">
        <v>758</v>
      </c>
    </row>
    <row r="62" spans="1:7" ht="24" x14ac:dyDescent="0.25">
      <c r="A62" s="441" t="s">
        <v>784</v>
      </c>
      <c r="B62" s="442" t="s">
        <v>707</v>
      </c>
      <c r="C62" s="443" t="s">
        <v>862</v>
      </c>
      <c r="D62" s="443" t="s">
        <v>210</v>
      </c>
      <c r="E62" s="444">
        <v>12849483.07</v>
      </c>
      <c r="F62" s="445" t="s">
        <v>727</v>
      </c>
      <c r="G62" s="445" t="s">
        <v>728</v>
      </c>
    </row>
    <row r="63" spans="1:7" ht="36" x14ac:dyDescent="0.25">
      <c r="A63" s="441" t="s">
        <v>785</v>
      </c>
      <c r="B63" s="442" t="s">
        <v>708</v>
      </c>
      <c r="C63" s="443" t="s">
        <v>863</v>
      </c>
      <c r="D63" s="443" t="s">
        <v>210</v>
      </c>
      <c r="E63" s="444">
        <v>12849483.07</v>
      </c>
      <c r="F63" s="174" t="s">
        <v>737</v>
      </c>
      <c r="G63" s="445" t="s">
        <v>738</v>
      </c>
    </row>
    <row r="64" spans="1:7" ht="36" x14ac:dyDescent="0.25">
      <c r="A64" s="441" t="s">
        <v>786</v>
      </c>
      <c r="B64" s="442" t="s">
        <v>709</v>
      </c>
      <c r="C64" s="443" t="s">
        <v>864</v>
      </c>
      <c r="D64" s="443" t="s">
        <v>210</v>
      </c>
      <c r="E64" s="444">
        <v>12849483.07</v>
      </c>
      <c r="F64" s="173" t="s">
        <v>787</v>
      </c>
      <c r="G64" s="445" t="s">
        <v>788</v>
      </c>
    </row>
    <row r="65" spans="1:7" ht="36" x14ac:dyDescent="0.25">
      <c r="A65" s="441" t="s">
        <v>789</v>
      </c>
      <c r="B65" s="442" t="s">
        <v>710</v>
      </c>
      <c r="C65" s="443" t="s">
        <v>865</v>
      </c>
      <c r="D65" s="443" t="s">
        <v>210</v>
      </c>
      <c r="E65" s="444">
        <v>12849483.07</v>
      </c>
      <c r="F65" s="174" t="s">
        <v>740</v>
      </c>
      <c r="G65" s="445" t="s">
        <v>741</v>
      </c>
    </row>
    <row r="66" spans="1:7" ht="25.5" x14ac:dyDescent="0.25">
      <c r="A66" s="441" t="s">
        <v>790</v>
      </c>
      <c r="B66" s="442" t="s">
        <v>711</v>
      </c>
      <c r="C66" s="443" t="s">
        <v>866</v>
      </c>
      <c r="D66" s="443" t="s">
        <v>210</v>
      </c>
      <c r="E66" s="444">
        <v>12849483.07</v>
      </c>
      <c r="F66" s="174" t="s">
        <v>743</v>
      </c>
      <c r="G66" s="445" t="s">
        <v>744</v>
      </c>
    </row>
    <row r="67" spans="1:7" ht="38.25" x14ac:dyDescent="0.25">
      <c r="A67" s="441" t="s">
        <v>791</v>
      </c>
      <c r="B67" s="442" t="s">
        <v>712</v>
      </c>
      <c r="C67" s="443" t="s">
        <v>867</v>
      </c>
      <c r="D67" s="443" t="s">
        <v>210</v>
      </c>
      <c r="E67" s="444">
        <v>12849483.07</v>
      </c>
      <c r="F67" s="173" t="s">
        <v>754</v>
      </c>
      <c r="G67" s="445" t="s">
        <v>755</v>
      </c>
    </row>
    <row r="68" spans="1:7" ht="25.5" x14ac:dyDescent="0.25">
      <c r="A68" s="441" t="s">
        <v>792</v>
      </c>
      <c r="B68" s="442" t="s">
        <v>713</v>
      </c>
      <c r="C68" s="443" t="s">
        <v>868</v>
      </c>
      <c r="D68" s="443" t="s">
        <v>210</v>
      </c>
      <c r="E68" s="444">
        <v>12849483.07</v>
      </c>
      <c r="F68" s="174" t="s">
        <v>746</v>
      </c>
      <c r="G68" s="445" t="s">
        <v>747</v>
      </c>
    </row>
    <row r="69" spans="1:7" ht="36" x14ac:dyDescent="0.25">
      <c r="A69" s="441" t="s">
        <v>793</v>
      </c>
      <c r="B69" s="442" t="s">
        <v>714</v>
      </c>
      <c r="C69" s="443" t="s">
        <v>869</v>
      </c>
      <c r="D69" s="443" t="s">
        <v>210</v>
      </c>
      <c r="E69" s="444">
        <v>12849483.07</v>
      </c>
      <c r="F69" s="446" t="s">
        <v>737</v>
      </c>
      <c r="G69" s="445" t="s">
        <v>738</v>
      </c>
    </row>
    <row r="70" spans="1:7" ht="24" x14ac:dyDescent="0.25">
      <c r="A70" s="441" t="s">
        <v>794</v>
      </c>
      <c r="B70" s="442" t="s">
        <v>715</v>
      </c>
      <c r="C70" s="443" t="s">
        <v>870</v>
      </c>
      <c r="D70" s="443" t="s">
        <v>210</v>
      </c>
      <c r="E70" s="560">
        <v>13421549.1</v>
      </c>
      <c r="F70" s="447" t="s">
        <v>787</v>
      </c>
      <c r="G70" s="445" t="s">
        <v>788</v>
      </c>
    </row>
    <row r="186" spans="5:5" x14ac:dyDescent="0.25">
      <c r="E186" s="556"/>
    </row>
    <row r="187" spans="5:5" x14ac:dyDescent="0.25">
      <c r="E187" s="556"/>
    </row>
  </sheetData>
  <sheetProtection password="CF98" sheet="1" formatCells="0" formatColumns="0" formatRows="0" insertHyperlinks="0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61"/>
  <sheetViews>
    <sheetView zoomScale="55" zoomScaleNormal="55" zoomScaleSheetLayoutView="70" workbookViewId="0">
      <pane ySplit="4" topLeftCell="A5" activePane="bottomLeft" state="frozen"/>
      <selection pane="bottomLeft" activeCell="H14" sqref="H14"/>
    </sheetView>
  </sheetViews>
  <sheetFormatPr defaultColWidth="9.140625" defaultRowHeight="15" x14ac:dyDescent="0.25"/>
  <cols>
    <col min="1" max="1" width="46.28515625" style="187" bestFit="1" customWidth="1"/>
    <col min="2" max="2" width="51.42578125" style="187" bestFit="1" customWidth="1"/>
    <col min="3" max="3" width="57.5703125" style="187" customWidth="1"/>
    <col min="4" max="4" width="88.85546875" style="187" bestFit="1" customWidth="1"/>
    <col min="5" max="5" width="38.85546875" style="187" bestFit="1" customWidth="1"/>
    <col min="6" max="6" width="30.42578125" style="187" bestFit="1" customWidth="1"/>
    <col min="7" max="7" width="36.7109375" style="187" customWidth="1"/>
    <col min="8" max="8" width="30.42578125" style="187" bestFit="1" customWidth="1"/>
    <col min="9" max="9" width="23.7109375" style="187" bestFit="1" customWidth="1"/>
    <col min="10" max="16384" width="9.140625" style="187"/>
  </cols>
  <sheetData>
    <row r="1" spans="1:9" s="511" customFormat="1" ht="42.75" customHeight="1" thickBot="1" x14ac:dyDescent="0.3">
      <c r="A1" s="763" t="s">
        <v>357</v>
      </c>
      <c r="B1" s="764"/>
      <c r="C1" s="764"/>
      <c r="D1" s="764"/>
      <c r="E1" s="764"/>
      <c r="F1" s="764"/>
      <c r="G1" s="764"/>
      <c r="H1" s="765"/>
      <c r="I1" s="761" t="s">
        <v>400</v>
      </c>
    </row>
    <row r="2" spans="1:9" ht="37.5" customHeight="1" thickBot="1" x14ac:dyDescent="0.3">
      <c r="A2" s="759" t="s">
        <v>37</v>
      </c>
      <c r="B2" s="760"/>
      <c r="C2" s="760"/>
      <c r="D2" s="760"/>
      <c r="E2" s="760"/>
      <c r="F2" s="760"/>
      <c r="G2" s="766" t="s">
        <v>92</v>
      </c>
      <c r="H2" s="767"/>
      <c r="I2" s="762"/>
    </row>
    <row r="3" spans="1:9" ht="40.5" customHeight="1" x14ac:dyDescent="0.25">
      <c r="A3" s="768" t="s">
        <v>51</v>
      </c>
      <c r="B3" s="769"/>
      <c r="C3" s="768" t="s">
        <v>53</v>
      </c>
      <c r="D3" s="770"/>
      <c r="E3" s="771"/>
      <c r="F3" s="772" t="s">
        <v>52</v>
      </c>
      <c r="G3" s="763" t="s">
        <v>73</v>
      </c>
      <c r="H3" s="765" t="s">
        <v>52</v>
      </c>
      <c r="I3" s="762"/>
    </row>
    <row r="4" spans="1:9" ht="41.25" customHeight="1" thickBot="1" x14ac:dyDescent="0.3">
      <c r="A4" s="704" t="s">
        <v>54</v>
      </c>
      <c r="B4" s="705" t="s">
        <v>73</v>
      </c>
      <c r="C4" s="706" t="s">
        <v>55</v>
      </c>
      <c r="D4" s="707" t="s">
        <v>56</v>
      </c>
      <c r="E4" s="708" t="s">
        <v>69</v>
      </c>
      <c r="F4" s="773"/>
      <c r="G4" s="774"/>
      <c r="H4" s="775"/>
      <c r="I4" s="762"/>
    </row>
    <row r="5" spans="1:9" ht="24" customHeight="1" x14ac:dyDescent="0.25">
      <c r="A5" s="188" t="s">
        <v>346</v>
      </c>
      <c r="B5" s="189" t="s">
        <v>350</v>
      </c>
      <c r="C5" s="188" t="s">
        <v>629</v>
      </c>
      <c r="D5" s="508" t="s">
        <v>629</v>
      </c>
      <c r="E5" s="189" t="s">
        <v>355</v>
      </c>
      <c r="F5" s="605"/>
      <c r="G5" s="177" t="s">
        <v>94</v>
      </c>
      <c r="H5" s="613"/>
      <c r="I5" s="462">
        <f>Расценка!$E$3</f>
        <v>1388.7</v>
      </c>
    </row>
    <row r="6" spans="1:9" ht="24" customHeight="1" x14ac:dyDescent="0.25">
      <c r="A6" s="460"/>
      <c r="B6" s="461"/>
      <c r="C6" s="460" t="s">
        <v>352</v>
      </c>
      <c r="D6" s="504" t="s">
        <v>399</v>
      </c>
      <c r="E6" s="461"/>
      <c r="F6" s="606"/>
      <c r="G6" s="180" t="s">
        <v>94</v>
      </c>
      <c r="H6" s="614"/>
      <c r="I6" s="463">
        <f>Расценка!$E$3</f>
        <v>1388.7</v>
      </c>
    </row>
    <row r="7" spans="1:9" ht="24" customHeight="1" x14ac:dyDescent="0.25">
      <c r="A7" s="191" t="s">
        <v>348</v>
      </c>
      <c r="B7" s="192" t="s">
        <v>94</v>
      </c>
      <c r="C7" s="191" t="s">
        <v>99</v>
      </c>
      <c r="D7" s="505" t="s">
        <v>630</v>
      </c>
      <c r="E7" s="192"/>
      <c r="F7" s="607"/>
      <c r="G7" s="180" t="s">
        <v>94</v>
      </c>
      <c r="H7" s="614"/>
      <c r="I7" s="463">
        <f>Расценка!$E$3</f>
        <v>1388.7</v>
      </c>
    </row>
    <row r="8" spans="1:9" ht="24" customHeight="1" x14ac:dyDescent="0.25">
      <c r="A8" s="191"/>
      <c r="B8" s="192"/>
      <c r="C8" s="191"/>
      <c r="D8" s="506" t="s">
        <v>631</v>
      </c>
      <c r="E8" s="192"/>
      <c r="F8" s="607"/>
      <c r="G8" s="180" t="s">
        <v>94</v>
      </c>
      <c r="H8" s="614"/>
      <c r="I8" s="463">
        <f>Расценка!$E$3</f>
        <v>1388.7</v>
      </c>
    </row>
    <row r="9" spans="1:9" ht="24" customHeight="1" x14ac:dyDescent="0.25">
      <c r="A9" s="191" t="s">
        <v>632</v>
      </c>
      <c r="B9" s="192"/>
      <c r="C9" s="191" t="s">
        <v>630</v>
      </c>
      <c r="D9" s="505" t="s">
        <v>633</v>
      </c>
      <c r="E9" s="192"/>
      <c r="F9" s="607"/>
      <c r="G9" s="180" t="s">
        <v>94</v>
      </c>
      <c r="H9" s="614"/>
      <c r="I9" s="463">
        <f>Расценка!$E$3</f>
        <v>1388.7</v>
      </c>
    </row>
    <row r="10" spans="1:9" ht="24" customHeight="1" x14ac:dyDescent="0.25">
      <c r="A10" s="598"/>
      <c r="B10" s="599"/>
      <c r="C10" s="598"/>
      <c r="D10" s="600" t="s">
        <v>525</v>
      </c>
      <c r="E10" s="599"/>
      <c r="F10" s="608"/>
      <c r="G10" s="180" t="s">
        <v>94</v>
      </c>
      <c r="H10" s="614"/>
      <c r="I10" s="463">
        <f>Расценка!$E$3</f>
        <v>1388.7</v>
      </c>
    </row>
    <row r="11" spans="1:9" ht="24" customHeight="1" x14ac:dyDescent="0.25">
      <c r="A11" s="598"/>
      <c r="B11" s="599"/>
      <c r="C11" s="598"/>
      <c r="D11" s="600" t="s">
        <v>526</v>
      </c>
      <c r="E11" s="599"/>
      <c r="F11" s="608"/>
      <c r="G11" s="180" t="s">
        <v>94</v>
      </c>
      <c r="H11" s="614"/>
      <c r="I11" s="463">
        <f>Расценка!$E$3</f>
        <v>1388.7</v>
      </c>
    </row>
    <row r="12" spans="1:9" ht="24" customHeight="1" x14ac:dyDescent="0.25">
      <c r="A12" s="598"/>
      <c r="B12" s="599"/>
      <c r="C12" s="191" t="s">
        <v>344</v>
      </c>
      <c r="D12" s="505" t="s">
        <v>634</v>
      </c>
      <c r="E12" s="599"/>
      <c r="F12" s="608"/>
      <c r="G12" s="180" t="s">
        <v>94</v>
      </c>
      <c r="H12" s="614"/>
      <c r="I12" s="463">
        <f>Расценка!$E$3</f>
        <v>1388.7</v>
      </c>
    </row>
    <row r="13" spans="1:9" ht="24" customHeight="1" x14ac:dyDescent="0.25">
      <c r="A13" s="598"/>
      <c r="B13" s="599"/>
      <c r="C13" s="603"/>
      <c r="D13" s="604" t="s">
        <v>527</v>
      </c>
      <c r="E13" s="599"/>
      <c r="F13" s="608"/>
      <c r="G13" s="180" t="s">
        <v>94</v>
      </c>
      <c r="H13" s="614"/>
      <c r="I13" s="463">
        <f>Расценка!$E$3</f>
        <v>1388.7</v>
      </c>
    </row>
    <row r="14" spans="1:9" ht="24" customHeight="1" x14ac:dyDescent="0.25">
      <c r="A14" s="598"/>
      <c r="B14" s="599"/>
      <c r="C14" s="598"/>
      <c r="D14" s="600" t="s">
        <v>528</v>
      </c>
      <c r="E14" s="599"/>
      <c r="F14" s="608"/>
      <c r="G14" s="180" t="s">
        <v>94</v>
      </c>
      <c r="H14" s="614"/>
      <c r="I14" s="463">
        <f>Расценка!$E$3</f>
        <v>1388.7</v>
      </c>
    </row>
    <row r="15" spans="1:9" ht="24" customHeight="1" x14ac:dyDescent="0.25">
      <c r="A15" s="598"/>
      <c r="B15" s="599"/>
      <c r="C15" s="598"/>
      <c r="D15" s="600" t="s">
        <v>635</v>
      </c>
      <c r="E15" s="599"/>
      <c r="F15" s="608"/>
      <c r="G15" s="180" t="s">
        <v>94</v>
      </c>
      <c r="H15" s="614"/>
      <c r="I15" s="463">
        <f>Расценка!$E$3</f>
        <v>1388.7</v>
      </c>
    </row>
    <row r="16" spans="1:9" ht="24" customHeight="1" x14ac:dyDescent="0.25">
      <c r="A16" s="191"/>
      <c r="B16" s="192"/>
      <c r="C16" s="191"/>
      <c r="D16" s="505" t="s">
        <v>529</v>
      </c>
      <c r="E16" s="192"/>
      <c r="F16" s="607"/>
      <c r="G16" s="180" t="s">
        <v>94</v>
      </c>
      <c r="H16" s="614"/>
      <c r="I16" s="463">
        <f>Расценка!$E$3</f>
        <v>1388.7</v>
      </c>
    </row>
    <row r="17" spans="1:9" ht="24" customHeight="1" thickBot="1" x14ac:dyDescent="0.3">
      <c r="A17" s="687"/>
      <c r="B17" s="688"/>
      <c r="C17" s="687"/>
      <c r="D17" s="611" t="s">
        <v>636</v>
      </c>
      <c r="E17" s="612"/>
      <c r="F17" s="689"/>
      <c r="G17" s="690" t="s">
        <v>94</v>
      </c>
      <c r="H17" s="691"/>
      <c r="I17" s="464">
        <f>Расценка!$E$3</f>
        <v>1388.7</v>
      </c>
    </row>
    <row r="18" spans="1:9" ht="24" customHeight="1" x14ac:dyDescent="0.25">
      <c r="A18" s="188" t="s">
        <v>347</v>
      </c>
      <c r="B18" s="509" t="s">
        <v>351</v>
      </c>
      <c r="C18" s="188" t="s">
        <v>637</v>
      </c>
      <c r="D18" s="508" t="s">
        <v>637</v>
      </c>
      <c r="E18" s="189" t="s">
        <v>356</v>
      </c>
      <c r="F18" s="609"/>
      <c r="G18" s="177" t="s">
        <v>95</v>
      </c>
      <c r="H18" s="178"/>
      <c r="I18" s="601">
        <f>Расценка!$E$4</f>
        <v>1262.46</v>
      </c>
    </row>
    <row r="19" spans="1:9" ht="24" customHeight="1" x14ac:dyDescent="0.25">
      <c r="A19" s="191" t="s">
        <v>349</v>
      </c>
      <c r="B19" s="506"/>
      <c r="C19" s="191" t="s">
        <v>353</v>
      </c>
      <c r="D19" s="505" t="s">
        <v>638</v>
      </c>
      <c r="E19" s="192"/>
      <c r="F19" s="610"/>
      <c r="G19" s="180" t="s">
        <v>95</v>
      </c>
      <c r="H19" s="179"/>
      <c r="I19" s="601">
        <f>Расценка!$E$4</f>
        <v>1262.46</v>
      </c>
    </row>
    <row r="20" spans="1:9" ht="24" customHeight="1" x14ac:dyDescent="0.25">
      <c r="A20" s="191" t="s">
        <v>639</v>
      </c>
      <c r="B20" s="506" t="s">
        <v>95</v>
      </c>
      <c r="C20" s="191" t="s">
        <v>640</v>
      </c>
      <c r="D20" s="505" t="s">
        <v>640</v>
      </c>
      <c r="E20" s="192"/>
      <c r="F20" s="610"/>
      <c r="G20" s="180" t="s">
        <v>95</v>
      </c>
      <c r="H20" s="179"/>
      <c r="I20" s="601">
        <f>Расценка!$E$4</f>
        <v>1262.46</v>
      </c>
    </row>
    <row r="21" spans="1:9" ht="24" customHeight="1" x14ac:dyDescent="0.25">
      <c r="A21" s="191" t="s">
        <v>58</v>
      </c>
      <c r="B21" s="615"/>
      <c r="C21" s="191"/>
      <c r="D21" s="505" t="s">
        <v>641</v>
      </c>
      <c r="E21" s="192"/>
      <c r="F21" s="616"/>
      <c r="G21" s="180" t="s">
        <v>95</v>
      </c>
      <c r="H21" s="179"/>
      <c r="I21" s="601">
        <f>Расценка!$E$4</f>
        <v>1262.46</v>
      </c>
    </row>
    <row r="22" spans="1:9" ht="24" customHeight="1" x14ac:dyDescent="0.25">
      <c r="A22" s="598"/>
      <c r="B22" s="617"/>
      <c r="C22" s="191"/>
      <c r="D22" s="505" t="s">
        <v>642</v>
      </c>
      <c r="E22" s="192"/>
      <c r="F22" s="618"/>
      <c r="G22" s="180" t="s">
        <v>95</v>
      </c>
      <c r="H22" s="179"/>
      <c r="I22" s="601">
        <f>Расценка!$E$4</f>
        <v>1262.46</v>
      </c>
    </row>
    <row r="23" spans="1:9" ht="24" customHeight="1" x14ac:dyDescent="0.25">
      <c r="A23" s="598"/>
      <c r="B23" s="617"/>
      <c r="C23" s="191"/>
      <c r="D23" s="505" t="s">
        <v>530</v>
      </c>
      <c r="E23" s="192"/>
      <c r="F23" s="618"/>
      <c r="G23" s="180" t="s">
        <v>95</v>
      </c>
      <c r="H23" s="179"/>
      <c r="I23" s="601">
        <f>Расценка!$E$4</f>
        <v>1262.46</v>
      </c>
    </row>
    <row r="24" spans="1:9" ht="24" customHeight="1" x14ac:dyDescent="0.25">
      <c r="A24" s="598"/>
      <c r="B24" s="617"/>
      <c r="C24" s="191"/>
      <c r="D24" s="505" t="s">
        <v>531</v>
      </c>
      <c r="E24" s="192"/>
      <c r="F24" s="618"/>
      <c r="G24" s="180" t="s">
        <v>95</v>
      </c>
      <c r="H24" s="179"/>
      <c r="I24" s="601">
        <f>Расценка!$E$4</f>
        <v>1262.46</v>
      </c>
    </row>
    <row r="25" spans="1:9" ht="24" customHeight="1" x14ac:dyDescent="0.25">
      <c r="A25" s="598"/>
      <c r="B25" s="617"/>
      <c r="C25" s="191"/>
      <c r="D25" s="505" t="s">
        <v>643</v>
      </c>
      <c r="E25" s="192"/>
      <c r="F25" s="618"/>
      <c r="G25" s="180" t="s">
        <v>95</v>
      </c>
      <c r="H25" s="179"/>
      <c r="I25" s="601">
        <f>Расценка!$E$4</f>
        <v>1262.46</v>
      </c>
    </row>
    <row r="26" spans="1:9" ht="24" customHeight="1" x14ac:dyDescent="0.25">
      <c r="A26" s="598"/>
      <c r="B26" s="617"/>
      <c r="C26" s="191"/>
      <c r="D26" s="505" t="s">
        <v>534</v>
      </c>
      <c r="E26" s="192"/>
      <c r="F26" s="618"/>
      <c r="G26" s="180" t="s">
        <v>95</v>
      </c>
      <c r="H26" s="179"/>
      <c r="I26" s="601">
        <f>Расценка!$E$4</f>
        <v>1262.46</v>
      </c>
    </row>
    <row r="27" spans="1:9" ht="24" customHeight="1" x14ac:dyDescent="0.25">
      <c r="A27" s="598"/>
      <c r="B27" s="617"/>
      <c r="C27" s="191" t="s">
        <v>345</v>
      </c>
      <c r="D27" s="505" t="s">
        <v>644</v>
      </c>
      <c r="E27" s="192"/>
      <c r="F27" s="618"/>
      <c r="G27" s="180" t="s">
        <v>95</v>
      </c>
      <c r="H27" s="179"/>
      <c r="I27" s="601">
        <f>Расценка!$E$4</f>
        <v>1262.46</v>
      </c>
    </row>
    <row r="28" spans="1:9" ht="24" customHeight="1" x14ac:dyDescent="0.25">
      <c r="A28" s="191"/>
      <c r="B28" s="615"/>
      <c r="C28" s="191"/>
      <c r="D28" s="505" t="s">
        <v>532</v>
      </c>
      <c r="E28" s="192"/>
      <c r="F28" s="616"/>
      <c r="G28" s="180" t="s">
        <v>95</v>
      </c>
      <c r="H28" s="179"/>
      <c r="I28" s="601">
        <f>Расценка!$E$4</f>
        <v>1262.46</v>
      </c>
    </row>
    <row r="29" spans="1:9" ht="24" customHeight="1" thickBot="1" x14ac:dyDescent="0.3">
      <c r="A29" s="687"/>
      <c r="B29" s="692"/>
      <c r="C29" s="687"/>
      <c r="D29" s="611" t="s">
        <v>533</v>
      </c>
      <c r="E29" s="612"/>
      <c r="F29" s="693"/>
      <c r="G29" s="690" t="s">
        <v>95</v>
      </c>
      <c r="H29" s="694"/>
      <c r="I29" s="601">
        <f>Расценка!$E$4</f>
        <v>1262.46</v>
      </c>
    </row>
    <row r="30" spans="1:9" ht="38.25" thickBot="1" x14ac:dyDescent="0.3">
      <c r="A30" s="197" t="s">
        <v>70</v>
      </c>
      <c r="B30" s="198" t="s">
        <v>96</v>
      </c>
      <c r="C30" s="619"/>
      <c r="D30" s="611"/>
      <c r="E30" s="612"/>
      <c r="F30" s="620"/>
      <c r="G30" s="185" t="s">
        <v>96</v>
      </c>
      <c r="H30" s="186"/>
      <c r="I30" s="465">
        <f>Расценка!$E$5</f>
        <v>1136.21</v>
      </c>
    </row>
    <row r="31" spans="1:9" ht="21" thickBot="1" x14ac:dyDescent="0.3">
      <c r="A31" s="197" t="s">
        <v>68</v>
      </c>
      <c r="B31" s="198" t="s">
        <v>97</v>
      </c>
      <c r="C31" s="621"/>
      <c r="D31" s="510"/>
      <c r="E31" s="198"/>
      <c r="F31" s="199"/>
      <c r="G31" s="185" t="s">
        <v>97</v>
      </c>
      <c r="H31" s="186"/>
      <c r="I31" s="695">
        <f>Расценка!$E$6</f>
        <v>1136.21</v>
      </c>
    </row>
    <row r="32" spans="1:9" ht="37.5" x14ac:dyDescent="0.25">
      <c r="A32" s="188" t="s">
        <v>362</v>
      </c>
      <c r="B32" s="189" t="s">
        <v>363</v>
      </c>
      <c r="C32" s="188" t="s">
        <v>364</v>
      </c>
      <c r="D32" s="508" t="s">
        <v>645</v>
      </c>
      <c r="E32" s="189" t="s">
        <v>367</v>
      </c>
      <c r="F32" s="190"/>
      <c r="G32" s="177" t="s">
        <v>98</v>
      </c>
      <c r="H32" s="31"/>
      <c r="I32" s="462">
        <f>Расценка!$E$7</f>
        <v>1136.21</v>
      </c>
    </row>
    <row r="33" spans="1:9" ht="37.5" x14ac:dyDescent="0.25">
      <c r="A33" s="191" t="s">
        <v>361</v>
      </c>
      <c r="B33" s="192" t="s">
        <v>98</v>
      </c>
      <c r="C33" s="191" t="s">
        <v>646</v>
      </c>
      <c r="D33" s="505" t="s">
        <v>647</v>
      </c>
      <c r="E33" s="192" t="s">
        <v>128</v>
      </c>
      <c r="F33" s="193"/>
      <c r="G33" s="180" t="s">
        <v>98</v>
      </c>
      <c r="H33" s="32"/>
      <c r="I33" s="463">
        <f>Расценка!$E$7</f>
        <v>1136.21</v>
      </c>
    </row>
    <row r="34" spans="1:9" ht="37.5" x14ac:dyDescent="0.25">
      <c r="A34" s="191"/>
      <c r="B34" s="192"/>
      <c r="C34" s="191" t="s">
        <v>365</v>
      </c>
      <c r="D34" s="505" t="s">
        <v>648</v>
      </c>
      <c r="E34" s="192"/>
      <c r="F34" s="193"/>
      <c r="G34" s="180" t="s">
        <v>98</v>
      </c>
      <c r="H34" s="32"/>
      <c r="I34" s="463">
        <f>Расценка!$E$7</f>
        <v>1136.21</v>
      </c>
    </row>
    <row r="35" spans="1:9" ht="37.5" x14ac:dyDescent="0.25">
      <c r="A35" s="191"/>
      <c r="B35" s="192"/>
      <c r="C35" s="191" t="s">
        <v>366</v>
      </c>
      <c r="D35" s="505" t="s">
        <v>535</v>
      </c>
      <c r="E35" s="192"/>
      <c r="F35" s="193"/>
      <c r="G35" s="180" t="s">
        <v>98</v>
      </c>
      <c r="H35" s="32"/>
      <c r="I35" s="463">
        <f>Расценка!$E$7</f>
        <v>1136.21</v>
      </c>
    </row>
    <row r="36" spans="1:9" ht="37.5" x14ac:dyDescent="0.25">
      <c r="A36" s="191"/>
      <c r="B36" s="192"/>
      <c r="C36" s="191"/>
      <c r="D36" s="505" t="s">
        <v>536</v>
      </c>
      <c r="E36" s="192"/>
      <c r="F36" s="193"/>
      <c r="G36" s="180" t="s">
        <v>98</v>
      </c>
      <c r="H36" s="32"/>
      <c r="I36" s="463">
        <f>Расценка!$E$7</f>
        <v>1136.21</v>
      </c>
    </row>
    <row r="37" spans="1:9" ht="37.5" x14ac:dyDescent="0.25">
      <c r="A37" s="191"/>
      <c r="B37" s="192"/>
      <c r="C37" s="191"/>
      <c r="D37" s="505" t="s">
        <v>537</v>
      </c>
      <c r="E37" s="192"/>
      <c r="F37" s="193"/>
      <c r="G37" s="180" t="s">
        <v>98</v>
      </c>
      <c r="H37" s="32"/>
      <c r="I37" s="463">
        <f>Расценка!$E$7</f>
        <v>1136.21</v>
      </c>
    </row>
    <row r="38" spans="1:9" ht="37.5" x14ac:dyDescent="0.25">
      <c r="A38" s="191"/>
      <c r="B38" s="192"/>
      <c r="C38" s="191"/>
      <c r="D38" s="505" t="s">
        <v>538</v>
      </c>
      <c r="E38" s="192"/>
      <c r="F38" s="193"/>
      <c r="G38" s="180" t="s">
        <v>98</v>
      </c>
      <c r="H38" s="32"/>
      <c r="I38" s="463">
        <f>Расценка!$E$7</f>
        <v>1136.21</v>
      </c>
    </row>
    <row r="39" spans="1:9" ht="37.5" x14ac:dyDescent="0.25">
      <c r="A39" s="191" t="s">
        <v>93</v>
      </c>
      <c r="B39" s="622"/>
      <c r="C39" s="191"/>
      <c r="D39" s="505" t="s">
        <v>539</v>
      </c>
      <c r="E39" s="622"/>
      <c r="F39" s="193"/>
      <c r="G39" s="180" t="s">
        <v>98</v>
      </c>
      <c r="H39" s="32"/>
      <c r="I39" s="463">
        <f>Расценка!$E$7</f>
        <v>1136.21</v>
      </c>
    </row>
    <row r="40" spans="1:9" ht="37.5" x14ac:dyDescent="0.25">
      <c r="A40" s="191"/>
      <c r="B40" s="622"/>
      <c r="C40" s="191"/>
      <c r="D40" s="505" t="s">
        <v>540</v>
      </c>
      <c r="E40" s="622"/>
      <c r="F40" s="193"/>
      <c r="G40" s="180" t="s">
        <v>98</v>
      </c>
      <c r="H40" s="32"/>
      <c r="I40" s="463">
        <f>Расценка!$E$7</f>
        <v>1136.21</v>
      </c>
    </row>
    <row r="41" spans="1:9" ht="37.5" x14ac:dyDescent="0.25">
      <c r="A41" s="191"/>
      <c r="B41" s="622"/>
      <c r="C41" s="191"/>
      <c r="D41" s="505" t="s">
        <v>541</v>
      </c>
      <c r="E41" s="622"/>
      <c r="F41" s="193"/>
      <c r="G41" s="180" t="s">
        <v>98</v>
      </c>
      <c r="H41" s="32"/>
      <c r="I41" s="463">
        <f>Расценка!$E$7</f>
        <v>1136.21</v>
      </c>
    </row>
    <row r="42" spans="1:9" ht="37.5" x14ac:dyDescent="0.25">
      <c r="A42" s="623"/>
      <c r="B42" s="622"/>
      <c r="C42" s="623"/>
      <c r="D42" s="505" t="s">
        <v>542</v>
      </c>
      <c r="E42" s="192"/>
      <c r="F42" s="193"/>
      <c r="G42" s="180" t="s">
        <v>98</v>
      </c>
      <c r="H42" s="32"/>
      <c r="I42" s="463">
        <f>Расценка!$E$7</f>
        <v>1136.21</v>
      </c>
    </row>
    <row r="43" spans="1:9" ht="37.5" x14ac:dyDescent="0.25">
      <c r="A43" s="623"/>
      <c r="B43" s="622"/>
      <c r="C43" s="623"/>
      <c r="D43" s="505" t="s">
        <v>543</v>
      </c>
      <c r="E43" s="192"/>
      <c r="F43" s="193"/>
      <c r="G43" s="180" t="s">
        <v>98</v>
      </c>
      <c r="H43" s="32"/>
      <c r="I43" s="463">
        <f>Расценка!$E$7</f>
        <v>1136.21</v>
      </c>
    </row>
    <row r="44" spans="1:9" ht="37.5" x14ac:dyDescent="0.25">
      <c r="A44" s="623"/>
      <c r="B44" s="622"/>
      <c r="C44" s="623"/>
      <c r="D44" s="505" t="s">
        <v>649</v>
      </c>
      <c r="E44" s="192"/>
      <c r="F44" s="193"/>
      <c r="G44" s="180" t="s">
        <v>98</v>
      </c>
      <c r="H44" s="32"/>
      <c r="I44" s="463">
        <f>Расценка!$E$7</f>
        <v>1136.21</v>
      </c>
    </row>
    <row r="45" spans="1:9" ht="37.5" x14ac:dyDescent="0.25">
      <c r="A45" s="623"/>
      <c r="B45" s="622"/>
      <c r="C45" s="623"/>
      <c r="D45" s="505" t="s">
        <v>544</v>
      </c>
      <c r="E45" s="192"/>
      <c r="F45" s="193"/>
      <c r="G45" s="180" t="s">
        <v>98</v>
      </c>
      <c r="H45" s="32"/>
      <c r="I45" s="463">
        <f>Расценка!$E$7</f>
        <v>1136.21</v>
      </c>
    </row>
    <row r="46" spans="1:9" ht="37.5" x14ac:dyDescent="0.25">
      <c r="A46" s="623"/>
      <c r="B46" s="622"/>
      <c r="C46" s="623"/>
      <c r="D46" s="505" t="s">
        <v>545</v>
      </c>
      <c r="E46" s="192"/>
      <c r="F46" s="193"/>
      <c r="G46" s="180" t="s">
        <v>98</v>
      </c>
      <c r="H46" s="32"/>
      <c r="I46" s="463">
        <f>Расценка!$E$7</f>
        <v>1136.21</v>
      </c>
    </row>
    <row r="47" spans="1:9" ht="37.5" x14ac:dyDescent="0.25">
      <c r="A47" s="623"/>
      <c r="B47" s="622"/>
      <c r="C47" s="623"/>
      <c r="D47" s="505" t="s">
        <v>650</v>
      </c>
      <c r="E47" s="192"/>
      <c r="F47" s="193"/>
      <c r="G47" s="180" t="s">
        <v>98</v>
      </c>
      <c r="H47" s="32"/>
      <c r="I47" s="463">
        <f>Расценка!$E$7</f>
        <v>1136.21</v>
      </c>
    </row>
    <row r="48" spans="1:9" ht="37.5" x14ac:dyDescent="0.25">
      <c r="A48" s="623"/>
      <c r="B48" s="622"/>
      <c r="C48" s="623"/>
      <c r="D48" s="505" t="s">
        <v>546</v>
      </c>
      <c r="E48" s="192"/>
      <c r="F48" s="193"/>
      <c r="G48" s="180" t="s">
        <v>98</v>
      </c>
      <c r="H48" s="32"/>
      <c r="I48" s="463">
        <f>Расценка!$E$7</f>
        <v>1136.21</v>
      </c>
    </row>
    <row r="49" spans="1:9" ht="37.5" x14ac:dyDescent="0.25">
      <c r="A49" s="623"/>
      <c r="B49" s="622"/>
      <c r="C49" s="623"/>
      <c r="D49" s="505" t="s">
        <v>547</v>
      </c>
      <c r="E49" s="192"/>
      <c r="F49" s="193"/>
      <c r="G49" s="180" t="s">
        <v>98</v>
      </c>
      <c r="H49" s="32"/>
      <c r="I49" s="463">
        <f>Расценка!$E$7</f>
        <v>1136.21</v>
      </c>
    </row>
    <row r="50" spans="1:9" ht="37.5" x14ac:dyDescent="0.25">
      <c r="A50" s="623"/>
      <c r="B50" s="622"/>
      <c r="C50" s="623"/>
      <c r="D50" s="505" t="s">
        <v>548</v>
      </c>
      <c r="E50" s="192"/>
      <c r="F50" s="193"/>
      <c r="G50" s="180" t="s">
        <v>98</v>
      </c>
      <c r="H50" s="32"/>
      <c r="I50" s="463">
        <f>Расценка!$E$7</f>
        <v>1136.21</v>
      </c>
    </row>
    <row r="51" spans="1:9" ht="37.5" x14ac:dyDescent="0.25">
      <c r="A51" s="623"/>
      <c r="B51" s="192"/>
      <c r="C51" s="623"/>
      <c r="D51" s="505" t="s">
        <v>549</v>
      </c>
      <c r="E51" s="192"/>
      <c r="F51" s="193"/>
      <c r="G51" s="180" t="s">
        <v>98</v>
      </c>
      <c r="H51" s="32"/>
      <c r="I51" s="463">
        <f>Расценка!$E$7</f>
        <v>1136.21</v>
      </c>
    </row>
    <row r="52" spans="1:9" ht="37.5" x14ac:dyDescent="0.25">
      <c r="A52" s="623"/>
      <c r="B52" s="192"/>
      <c r="C52" s="623"/>
      <c r="D52" s="505" t="s">
        <v>550</v>
      </c>
      <c r="E52" s="192"/>
      <c r="F52" s="193"/>
      <c r="G52" s="180" t="s">
        <v>98</v>
      </c>
      <c r="H52" s="32"/>
      <c r="I52" s="463">
        <f>Расценка!$E$7</f>
        <v>1136.21</v>
      </c>
    </row>
    <row r="53" spans="1:9" ht="37.5" x14ac:dyDescent="0.25">
      <c r="A53" s="623"/>
      <c r="B53" s="192"/>
      <c r="C53" s="623"/>
      <c r="D53" s="505" t="s">
        <v>100</v>
      </c>
      <c r="E53" s="192"/>
      <c r="F53" s="193"/>
      <c r="G53" s="180" t="s">
        <v>98</v>
      </c>
      <c r="H53" s="32"/>
      <c r="I53" s="463">
        <f>Расценка!$E$7</f>
        <v>1136.21</v>
      </c>
    </row>
    <row r="54" spans="1:9" ht="37.5" x14ac:dyDescent="0.25">
      <c r="A54" s="191"/>
      <c r="B54" s="192"/>
      <c r="C54" s="623"/>
      <c r="D54" s="505" t="s">
        <v>101</v>
      </c>
      <c r="E54" s="192"/>
      <c r="F54" s="193"/>
      <c r="G54" s="180" t="s">
        <v>98</v>
      </c>
      <c r="H54" s="32"/>
      <c r="I54" s="463">
        <f>Расценка!$E$7</f>
        <v>1136.21</v>
      </c>
    </row>
    <row r="55" spans="1:9" ht="37.5" x14ac:dyDescent="0.25">
      <c r="A55" s="191"/>
      <c r="B55" s="192"/>
      <c r="C55" s="191"/>
      <c r="D55" s="505" t="s">
        <v>102</v>
      </c>
      <c r="E55" s="192"/>
      <c r="F55" s="193"/>
      <c r="G55" s="180" t="s">
        <v>98</v>
      </c>
      <c r="H55" s="32"/>
      <c r="I55" s="463">
        <f>Расценка!$E$7</f>
        <v>1136.21</v>
      </c>
    </row>
    <row r="56" spans="1:9" ht="37.5" x14ac:dyDescent="0.25">
      <c r="A56" s="191"/>
      <c r="B56" s="192"/>
      <c r="C56" s="191"/>
      <c r="D56" s="505" t="s">
        <v>103</v>
      </c>
      <c r="E56" s="192"/>
      <c r="F56" s="193"/>
      <c r="G56" s="180" t="s">
        <v>98</v>
      </c>
      <c r="H56" s="32"/>
      <c r="I56" s="463">
        <f>Расценка!$E$7</f>
        <v>1136.21</v>
      </c>
    </row>
    <row r="57" spans="1:9" ht="37.5" x14ac:dyDescent="0.25">
      <c r="A57" s="191"/>
      <c r="B57" s="192"/>
      <c r="C57" s="191"/>
      <c r="D57" s="505" t="s">
        <v>104</v>
      </c>
      <c r="E57" s="192"/>
      <c r="F57" s="193"/>
      <c r="G57" s="180" t="s">
        <v>98</v>
      </c>
      <c r="H57" s="32"/>
      <c r="I57" s="463">
        <f>Расценка!$E$7</f>
        <v>1136.21</v>
      </c>
    </row>
    <row r="58" spans="1:9" ht="37.5" x14ac:dyDescent="0.25">
      <c r="A58" s="191"/>
      <c r="B58" s="192"/>
      <c r="C58" s="191"/>
      <c r="D58" s="505" t="s">
        <v>105</v>
      </c>
      <c r="E58" s="192"/>
      <c r="F58" s="193"/>
      <c r="G58" s="180" t="s">
        <v>98</v>
      </c>
      <c r="H58" s="32"/>
      <c r="I58" s="463">
        <f>Расценка!$E$7</f>
        <v>1136.21</v>
      </c>
    </row>
    <row r="59" spans="1:9" ht="38.25" thickBot="1" x14ac:dyDescent="0.3">
      <c r="A59" s="194"/>
      <c r="B59" s="195"/>
      <c r="C59" s="194"/>
      <c r="D59" s="507" t="s">
        <v>106</v>
      </c>
      <c r="E59" s="195"/>
      <c r="F59" s="196"/>
      <c r="G59" s="181" t="s">
        <v>98</v>
      </c>
      <c r="H59" s="33"/>
      <c r="I59" s="464">
        <f>Расценка!$E$7</f>
        <v>1136.21</v>
      </c>
    </row>
    <row r="60" spans="1:9" ht="20.25" x14ac:dyDescent="0.25">
      <c r="A60" s="188"/>
      <c r="B60" s="189"/>
      <c r="C60" s="188"/>
      <c r="D60" s="624"/>
      <c r="E60" s="189" t="s">
        <v>354</v>
      </c>
      <c r="F60" s="190" t="s">
        <v>107</v>
      </c>
      <c r="G60" s="177"/>
      <c r="H60" s="178" t="s">
        <v>107</v>
      </c>
      <c r="I60" s="601">
        <f>Расценка!$E$8</f>
        <v>315.61</v>
      </c>
    </row>
    <row r="61" spans="1:9" ht="38.25" thickBot="1" x14ac:dyDescent="0.3">
      <c r="A61" s="194"/>
      <c r="B61" s="195"/>
      <c r="C61" s="625"/>
      <c r="D61" s="507"/>
      <c r="E61" s="195" t="s">
        <v>354</v>
      </c>
      <c r="F61" s="196" t="s">
        <v>108</v>
      </c>
      <c r="G61" s="184"/>
      <c r="H61" s="182" t="s">
        <v>108</v>
      </c>
      <c r="I61" s="464">
        <f>Расценка!$E$9</f>
        <v>315.61</v>
      </c>
    </row>
  </sheetData>
  <sheetProtection password="CF98" sheet="1" formatCells="0" formatColumns="0" formatRows="0" sort="0" autoFilter="0" pivotTables="0"/>
  <mergeCells count="9">
    <mergeCell ref="A2:F2"/>
    <mergeCell ref="I1:I4"/>
    <mergeCell ref="A1:H1"/>
    <mergeCell ref="G2:H2"/>
    <mergeCell ref="A3:B3"/>
    <mergeCell ref="C3:E3"/>
    <mergeCell ref="F3:F4"/>
    <mergeCell ref="G3:G4"/>
    <mergeCell ref="H3:H4"/>
  </mergeCells>
  <printOptions horizontalCentered="1"/>
  <pageMargins left="0.23622047244094491" right="0.23622047244094491" top="0.15748031496062992" bottom="0.15748031496062992" header="0" footer="0"/>
  <pageSetup paperSize="9" scale="36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</sheetPr>
  <dimension ref="A1:B30"/>
  <sheetViews>
    <sheetView zoomScaleNormal="100" zoomScaleSheetLayoutView="100" workbookViewId="0">
      <selection activeCell="B24" sqref="B24"/>
    </sheetView>
  </sheetViews>
  <sheetFormatPr defaultRowHeight="15" x14ac:dyDescent="0.25"/>
  <cols>
    <col min="1" max="1" width="52.85546875" style="137" customWidth="1"/>
    <col min="2" max="2" width="67.140625" style="138" customWidth="1"/>
    <col min="3" max="16384" width="9.140625" style="137"/>
  </cols>
  <sheetData>
    <row r="1" spans="1:2" ht="25.5" x14ac:dyDescent="0.35">
      <c r="A1" s="438"/>
      <c r="B1" s="438"/>
    </row>
    <row r="2" spans="1:2" ht="25.5" x14ac:dyDescent="0.35">
      <c r="A2" s="776" t="s">
        <v>401</v>
      </c>
      <c r="B2" s="777"/>
    </row>
    <row r="3" spans="1:2" ht="25.5" x14ac:dyDescent="0.35">
      <c r="A3" s="438"/>
      <c r="B3" s="438"/>
    </row>
    <row r="5" spans="1:2" ht="18.75" x14ac:dyDescent="0.25">
      <c r="A5" s="409" t="s">
        <v>261</v>
      </c>
      <c r="B5" s="512"/>
    </row>
    <row r="6" spans="1:2" ht="18.75" x14ac:dyDescent="0.25">
      <c r="A6" s="409" t="s">
        <v>259</v>
      </c>
      <c r="B6" s="513" t="str">
        <f>IFERROR(CONCATENATE(VLOOKUP($B$5,Темы!$A$2:$C$184,3,FALSE)," ",VLOOKUP($B$5,Темы!$A:$H,2,FALSE)),"-")</f>
        <v>-</v>
      </c>
    </row>
    <row r="7" spans="1:2" ht="18.75" x14ac:dyDescent="0.25">
      <c r="A7" s="409" t="s">
        <v>260</v>
      </c>
      <c r="B7" s="513" t="str">
        <f>IFERROR(VLOOKUP($B$5,Темы!$A:$H,4,FALSE),"-")</f>
        <v>-</v>
      </c>
    </row>
    <row r="8" spans="1:2" ht="18.75" x14ac:dyDescent="0.25">
      <c r="A8" s="409" t="s">
        <v>413</v>
      </c>
      <c r="B8" s="513" t="str">
        <f>IFERROR(VLOOKUP($B$5,Темы!$A:$H,2,FALSE),"-")</f>
        <v>-</v>
      </c>
    </row>
    <row r="9" spans="1:2" ht="18.75" x14ac:dyDescent="0.25">
      <c r="A9" s="409" t="s">
        <v>262</v>
      </c>
      <c r="B9" s="513" t="str">
        <f>IFERROR(VLOOKUP($B$5,Темы!$A:$H,6,FALSE),"-")</f>
        <v>-</v>
      </c>
    </row>
    <row r="10" spans="1:2" ht="18.75" x14ac:dyDescent="0.3">
      <c r="A10" s="410" t="s">
        <v>191</v>
      </c>
      <c r="B10" s="513" t="str">
        <f>IFERROR(IF(VLOOKUP($B$5,Темы!$A:$H,7,FALSE)=0," ",VLOOKUP($B$5,Темы!$A:$H,7,FALSE)),"-")</f>
        <v>-</v>
      </c>
    </row>
    <row r="11" spans="1:2" ht="18.75" x14ac:dyDescent="0.3">
      <c r="A11" s="410" t="s">
        <v>274</v>
      </c>
      <c r="B11" s="513" t="str">
        <f>IFERROR(INDEX('Состав ВТК'!$1:$1048576,MATCH(A11,'Состав ВТК'!J:J,0),MATCH('Смета Рук.ВТК'!$E$35,'Состав ВТК'!7:7,0)),"-")</f>
        <v>-</v>
      </c>
    </row>
    <row r="12" spans="1:2" ht="18.75" x14ac:dyDescent="0.25">
      <c r="A12" s="409"/>
    </row>
    <row r="13" spans="1:2" ht="18.75" x14ac:dyDescent="0.25">
      <c r="A13" s="411" t="s">
        <v>263</v>
      </c>
      <c r="B13" s="514" t="str">
        <f>IFERROR(VLOOKUP($B$5,Темы!$A:$H,5,FALSE),"-")</f>
        <v>-</v>
      </c>
    </row>
    <row r="14" spans="1:2" ht="18.75" x14ac:dyDescent="0.25">
      <c r="A14" s="411"/>
      <c r="B14" s="412"/>
    </row>
    <row r="17" spans="1:2" ht="18.75" x14ac:dyDescent="0.25">
      <c r="A17" s="411"/>
      <c r="B17" s="412"/>
    </row>
    <row r="18" spans="1:2" x14ac:dyDescent="0.25">
      <c r="B18" s="137"/>
    </row>
    <row r="19" spans="1:2" ht="33" x14ac:dyDescent="0.25">
      <c r="A19" s="495" t="s">
        <v>405</v>
      </c>
      <c r="B19" s="496" t="s">
        <v>918</v>
      </c>
    </row>
    <row r="20" spans="1:2" x14ac:dyDescent="0.25">
      <c r="B20" s="497" t="s">
        <v>403</v>
      </c>
    </row>
    <row r="21" spans="1:2" x14ac:dyDescent="0.25">
      <c r="B21" s="497"/>
    </row>
    <row r="22" spans="1:2" ht="33" x14ac:dyDescent="0.25">
      <c r="A22" s="495" t="s">
        <v>402</v>
      </c>
      <c r="B22" s="496" t="s">
        <v>919</v>
      </c>
    </row>
    <row r="23" spans="1:2" x14ac:dyDescent="0.25">
      <c r="B23" s="497" t="s">
        <v>403</v>
      </c>
    </row>
    <row r="25" spans="1:2" ht="16.5" x14ac:dyDescent="0.25">
      <c r="A25" s="495" t="s">
        <v>441</v>
      </c>
      <c r="B25" s="496" t="s">
        <v>404</v>
      </c>
    </row>
    <row r="26" spans="1:2" x14ac:dyDescent="0.25">
      <c r="B26" s="497" t="s">
        <v>403</v>
      </c>
    </row>
    <row r="27" spans="1:2" x14ac:dyDescent="0.25">
      <c r="B27" s="137"/>
    </row>
    <row r="28" spans="1:2" x14ac:dyDescent="0.25">
      <c r="B28" s="137"/>
    </row>
    <row r="29" spans="1:2" x14ac:dyDescent="0.25">
      <c r="B29" s="137"/>
    </row>
    <row r="30" spans="1:2" x14ac:dyDescent="0.25">
      <c r="B30" s="137"/>
    </row>
  </sheetData>
  <sheetProtection algorithmName="SHA-512" hashValue="97FRndsOXqB4cwC21AagX1e3sWgovOgHGsPmtGAjGjOOcrF1k1jJBQ3j9jK51M63VPnwLB/vVnwPIzyZ0OCWpQ==" saltValue="Mfs4vx3ew4Vr/ToOUScmDA==" spinCount="100000" sheet="1" formatCells="0" formatColumns="0" formatRows="0" insertColumns="0" insertRows="0" insertHyperlinks="0" deleteColumns="0" deleteRows="0" sort="0" autoFilter="0" pivotTables="0"/>
  <mergeCells count="1">
    <mergeCell ref="A2:B2"/>
  </mergeCells>
  <conditionalFormatting sqref="G31">
    <cfRule type="cellIs" dxfId="212" priority="1" operator="greaterThan">
      <formula>$B$13</formula>
    </cfRule>
  </conditionalFormatting>
  <dataValidations count="1">
    <dataValidation allowBlank="1" showInputMessage="1" showErrorMessage="1" sqref="B6:B11 B22:B23 B13:B14 B17 B19"/>
  </dataValidations>
  <pageMargins left="0.7" right="0.7" top="0.75" bottom="0.75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Темы!$A$2:$A$184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9" tint="0.79998168889431442"/>
    <pageSetUpPr fitToPage="1"/>
  </sheetPr>
  <dimension ref="A1:J29"/>
  <sheetViews>
    <sheetView zoomScale="130" zoomScaleNormal="130" zoomScaleSheetLayoutView="130" workbookViewId="0">
      <selection activeCell="J6" sqref="J6"/>
    </sheetView>
  </sheetViews>
  <sheetFormatPr defaultColWidth="9.140625" defaultRowHeight="15" x14ac:dyDescent="0.25"/>
  <cols>
    <col min="1" max="1" width="19" style="1" bestFit="1" customWidth="1"/>
    <col min="2" max="2" width="6.85546875" style="1" customWidth="1"/>
    <col min="3" max="3" width="24.42578125" style="1" customWidth="1"/>
    <col min="4" max="4" width="25.7109375" style="1" customWidth="1"/>
    <col min="5" max="5" width="7.7109375" style="1" customWidth="1"/>
    <col min="6" max="6" width="9.140625" style="1"/>
    <col min="7" max="7" width="9.28515625" style="1" customWidth="1"/>
    <col min="8" max="8" width="12.42578125" style="1" customWidth="1"/>
    <col min="9" max="9" width="12" style="1" customWidth="1"/>
    <col min="10" max="10" width="16.7109375" style="1" customWidth="1"/>
    <col min="11" max="16384" width="9.140625" style="1"/>
  </cols>
  <sheetData>
    <row r="1" spans="1:10" ht="15" customHeight="1" x14ac:dyDescent="0.25">
      <c r="J1" s="64"/>
    </row>
    <row r="2" spans="1:10" ht="15" customHeight="1" x14ac:dyDescent="0.25">
      <c r="A2" s="65"/>
      <c r="B2" s="65"/>
      <c r="C2" s="65"/>
      <c r="D2"/>
      <c r="E2"/>
      <c r="F2"/>
      <c r="G2"/>
      <c r="H2"/>
      <c r="I2"/>
      <c r="J2"/>
    </row>
    <row r="3" spans="1:10" ht="15" customHeight="1" x14ac:dyDescent="0.25">
      <c r="A3" s="778" t="s">
        <v>138</v>
      </c>
      <c r="B3" s="778"/>
      <c r="C3" s="778"/>
      <c r="D3" s="778"/>
      <c r="E3" s="778"/>
      <c r="F3" s="778"/>
      <c r="G3" s="778"/>
      <c r="H3" s="778"/>
      <c r="I3" s="778"/>
      <c r="J3" s="778"/>
    </row>
    <row r="4" spans="1:10" ht="15.75" x14ac:dyDescent="0.25">
      <c r="A4" s="65"/>
      <c r="B4" s="65"/>
      <c r="C4" s="65"/>
      <c r="D4"/>
      <c r="E4"/>
      <c r="F4"/>
      <c r="G4"/>
      <c r="H4"/>
      <c r="I4"/>
      <c r="J4"/>
    </row>
    <row r="5" spans="1:10" ht="31.5" x14ac:dyDescent="0.25">
      <c r="A5" s="23" t="s">
        <v>0</v>
      </c>
      <c r="B5" s="66" t="s">
        <v>15</v>
      </c>
      <c r="C5" s="23" t="s">
        <v>14</v>
      </c>
      <c r="D5" s="23" t="s">
        <v>139</v>
      </c>
      <c r="E5" s="23" t="s">
        <v>5</v>
      </c>
      <c r="F5" s="23" t="s">
        <v>6</v>
      </c>
      <c r="G5" s="23" t="s">
        <v>140</v>
      </c>
      <c r="H5" s="23" t="s">
        <v>141</v>
      </c>
      <c r="I5" s="23" t="s">
        <v>142</v>
      </c>
      <c r="J5" s="23" t="s">
        <v>143</v>
      </c>
    </row>
    <row r="6" spans="1:10" ht="25.5" x14ac:dyDescent="0.25">
      <c r="A6" s="67" t="s">
        <v>144</v>
      </c>
      <c r="B6" s="67" t="s">
        <v>132</v>
      </c>
      <c r="C6" s="67" t="s">
        <v>145</v>
      </c>
      <c r="D6" s="67"/>
      <c r="E6" s="68">
        <v>244</v>
      </c>
      <c r="F6" s="68">
        <v>340</v>
      </c>
      <c r="G6" s="67"/>
      <c r="H6" s="67"/>
      <c r="I6" s="67"/>
      <c r="J6" s="69">
        <f>SUMIFS(J$9:J$14,$B$9:$B$14,$B6)</f>
        <v>0</v>
      </c>
    </row>
    <row r="7" spans="1:10" ht="25.5" x14ac:dyDescent="0.25">
      <c r="A7" s="67" t="s">
        <v>144</v>
      </c>
      <c r="B7" s="67" t="s">
        <v>133</v>
      </c>
      <c r="C7" s="67" t="s">
        <v>146</v>
      </c>
      <c r="D7" s="67"/>
      <c r="E7" s="68">
        <v>244</v>
      </c>
      <c r="F7" s="68">
        <v>310</v>
      </c>
      <c r="G7" s="67"/>
      <c r="H7" s="67"/>
      <c r="I7" s="67"/>
      <c r="J7" s="69">
        <f>SUMIFS(J$9:J$14,$B$9:$B$14,$B7)</f>
        <v>0</v>
      </c>
    </row>
    <row r="8" spans="1:10" ht="11.25" customHeight="1" x14ac:dyDescent="0.25">
      <c r="A8" s="70"/>
      <c r="B8" s="71"/>
      <c r="C8" s="70"/>
      <c r="D8" s="70"/>
      <c r="E8" s="70"/>
      <c r="F8" s="70"/>
      <c r="G8" s="70"/>
      <c r="H8" s="70"/>
      <c r="I8" s="70"/>
      <c r="J8" s="70"/>
    </row>
    <row r="9" spans="1:10" ht="25.5" x14ac:dyDescent="0.25">
      <c r="A9" s="72">
        <v>1</v>
      </c>
      <c r="B9" s="73" t="s">
        <v>132</v>
      </c>
      <c r="C9" s="74" t="s">
        <v>145</v>
      </c>
      <c r="D9" s="75"/>
      <c r="E9" s="76">
        <v>244</v>
      </c>
      <c r="F9" s="76">
        <v>340</v>
      </c>
      <c r="G9" s="77"/>
      <c r="H9" s="77"/>
      <c r="I9" s="78"/>
      <c r="J9" s="69">
        <f t="shared" ref="J9:J14" si="0">H9*I9</f>
        <v>0</v>
      </c>
    </row>
    <row r="10" spans="1:10" ht="25.5" x14ac:dyDescent="0.25">
      <c r="A10" s="72">
        <v>2</v>
      </c>
      <c r="B10" s="79" t="s">
        <v>133</v>
      </c>
      <c r="C10" s="80" t="s">
        <v>146</v>
      </c>
      <c r="D10" s="75"/>
      <c r="E10" s="76">
        <v>244</v>
      </c>
      <c r="F10" s="76">
        <v>310</v>
      </c>
      <c r="G10" s="77"/>
      <c r="H10" s="77"/>
      <c r="I10" s="78"/>
      <c r="J10" s="69">
        <f t="shared" si="0"/>
        <v>0</v>
      </c>
    </row>
    <row r="11" spans="1:10" x14ac:dyDescent="0.25">
      <c r="A11" s="72">
        <v>3</v>
      </c>
      <c r="B11" s="81"/>
      <c r="C11" s="74"/>
      <c r="D11" s="75"/>
      <c r="E11" s="76"/>
      <c r="F11" s="76"/>
      <c r="G11" s="77"/>
      <c r="H11" s="77"/>
      <c r="I11" s="78"/>
      <c r="J11" s="69">
        <f t="shared" si="0"/>
        <v>0</v>
      </c>
    </row>
    <row r="12" spans="1:10" x14ac:dyDescent="0.25">
      <c r="A12" s="72">
        <v>4</v>
      </c>
      <c r="B12" s="82"/>
      <c r="C12" s="82"/>
      <c r="D12" s="75"/>
      <c r="E12" s="76"/>
      <c r="F12" s="76"/>
      <c r="G12" s="77" t="s">
        <v>147</v>
      </c>
      <c r="H12" s="77"/>
      <c r="I12" s="78"/>
      <c r="J12" s="69">
        <f t="shared" si="0"/>
        <v>0</v>
      </c>
    </row>
    <row r="13" spans="1:10" x14ac:dyDescent="0.25">
      <c r="A13" s="72">
        <v>5</v>
      </c>
      <c r="B13" s="82"/>
      <c r="C13" s="82"/>
      <c r="D13" s="75"/>
      <c r="E13" s="76"/>
      <c r="F13" s="76"/>
      <c r="G13" s="77" t="s">
        <v>147</v>
      </c>
      <c r="H13" s="77"/>
      <c r="I13" s="78"/>
      <c r="J13" s="69">
        <f t="shared" si="0"/>
        <v>0</v>
      </c>
    </row>
    <row r="14" spans="1:10" x14ac:dyDescent="0.25">
      <c r="A14" s="72">
        <v>6</v>
      </c>
      <c r="B14" s="82"/>
      <c r="C14" s="82"/>
      <c r="D14" s="75"/>
      <c r="E14" s="76"/>
      <c r="F14" s="76"/>
      <c r="G14" s="77" t="s">
        <v>147</v>
      </c>
      <c r="H14" s="77"/>
      <c r="I14" s="78"/>
      <c r="J14" s="69">
        <f t="shared" si="0"/>
        <v>0</v>
      </c>
    </row>
    <row r="22" spans="2:10" ht="15.75" thickBot="1" x14ac:dyDescent="0.3"/>
    <row r="23" spans="2:10" ht="15.75" thickBot="1" x14ac:dyDescent="0.3">
      <c r="D23" s="140" t="s">
        <v>148</v>
      </c>
      <c r="E23" s="83"/>
      <c r="F23" s="83"/>
      <c r="G23" s="83"/>
      <c r="H23" s="83"/>
      <c r="I23" s="83"/>
      <c r="J23" s="84"/>
    </row>
    <row r="24" spans="2:10" x14ac:dyDescent="0.25">
      <c r="B24" s="86"/>
      <c r="C24" s="86"/>
      <c r="D24" s="85" t="s">
        <v>149</v>
      </c>
      <c r="E24" s="86"/>
      <c r="F24" s="86"/>
      <c r="G24" s="86" t="s">
        <v>150</v>
      </c>
      <c r="H24" s="86">
        <v>1</v>
      </c>
      <c r="I24" s="86">
        <v>800</v>
      </c>
      <c r="J24" s="87"/>
    </row>
    <row r="25" spans="2:10" x14ac:dyDescent="0.25">
      <c r="B25" s="86"/>
      <c r="C25" s="86"/>
      <c r="D25" s="85" t="s">
        <v>151</v>
      </c>
      <c r="E25" s="86"/>
      <c r="F25" s="86"/>
      <c r="G25" s="86" t="s">
        <v>152</v>
      </c>
      <c r="H25" s="86">
        <v>1</v>
      </c>
      <c r="I25" s="86">
        <v>5000</v>
      </c>
      <c r="J25" s="87"/>
    </row>
    <row r="26" spans="2:10" ht="15.75" thickBot="1" x14ac:dyDescent="0.3">
      <c r="B26" s="86"/>
      <c r="C26" s="86"/>
      <c r="D26" s="88" t="s">
        <v>153</v>
      </c>
      <c r="E26" s="89"/>
      <c r="F26" s="89"/>
      <c r="G26" s="89" t="s">
        <v>152</v>
      </c>
      <c r="H26" s="89">
        <v>10</v>
      </c>
      <c r="I26" s="89">
        <v>700</v>
      </c>
      <c r="J26" s="90"/>
    </row>
    <row r="27" spans="2:10" ht="15" customHeight="1" x14ac:dyDescent="0.25"/>
    <row r="28" spans="2:10" ht="15" customHeight="1" x14ac:dyDescent="0.25"/>
    <row r="29" spans="2:10" ht="15" customHeight="1" x14ac:dyDescent="0.25"/>
  </sheetData>
  <sheetProtection password="CF98" sheet="1" formatCells="0" formatColumns="0" formatRows="0" insertRows="0" insertHyperlinks="0" deleteRows="0" sort="0" autoFilter="0"/>
  <autoFilter ref="A8:J14"/>
  <mergeCells count="1">
    <mergeCell ref="A3:J3"/>
  </mergeCells>
  <printOptions horizontalCentered="1"/>
  <pageMargins left="0.70866141732283472" right="0.70866141732283472" top="0.74803149606299213" bottom="0.74803149606299213" header="0" footer="0"/>
  <pageSetup paperSize="9" scale="9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79998168889431442"/>
    <pageSetUpPr fitToPage="1"/>
  </sheetPr>
  <dimension ref="A1:L27"/>
  <sheetViews>
    <sheetView zoomScale="130" zoomScaleNormal="130" zoomScaleSheetLayoutView="115" workbookViewId="0">
      <pane xSplit="1" ySplit="6" topLeftCell="B7" activePane="bottomRight" state="frozen"/>
      <selection pane="topRight"/>
      <selection pane="bottomLeft"/>
      <selection pane="bottomRight" activeCell="I7" sqref="I7:K15"/>
    </sheetView>
  </sheetViews>
  <sheetFormatPr defaultColWidth="9.140625" defaultRowHeight="15" x14ac:dyDescent="0.25"/>
  <cols>
    <col min="1" max="1" width="7.7109375" style="9" customWidth="1"/>
    <col min="2" max="2" width="8.5703125" style="9" customWidth="1"/>
    <col min="3" max="3" width="13" style="9" customWidth="1"/>
    <col min="4" max="4" width="36.42578125" style="9" customWidth="1"/>
    <col min="5" max="5" width="5.5703125" style="9" bestFit="1" customWidth="1"/>
    <col min="6" max="6" width="9.140625" style="9" bestFit="1" customWidth="1"/>
    <col min="7" max="7" width="15.140625" style="9" customWidth="1"/>
    <col min="8" max="8" width="17.28515625" style="9" customWidth="1"/>
    <col min="9" max="9" width="12.28515625" style="9" customWidth="1"/>
    <col min="10" max="10" width="10.7109375" style="9" customWidth="1"/>
    <col min="11" max="11" width="14.7109375" style="9" customWidth="1"/>
    <col min="12" max="12" width="18.5703125" style="9" customWidth="1"/>
    <col min="13" max="16384" width="9.140625" style="9"/>
  </cols>
  <sheetData>
    <row r="1" spans="1:12" ht="18.75" x14ac:dyDescent="0.25">
      <c r="L1" s="8"/>
    </row>
    <row r="2" spans="1:12" ht="18.75" x14ac:dyDescent="0.25">
      <c r="A2" s="781" t="s">
        <v>154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</row>
    <row r="3" spans="1:12" ht="15.75" x14ac:dyDescent="0.25">
      <c r="A3" s="91"/>
      <c r="B3" s="91"/>
      <c r="C3" s="91"/>
    </row>
    <row r="4" spans="1:12" ht="57" customHeight="1" x14ac:dyDescent="0.25">
      <c r="A4" s="92" t="s">
        <v>155</v>
      </c>
      <c r="B4" s="92" t="s">
        <v>15</v>
      </c>
      <c r="C4" s="92" t="s">
        <v>14</v>
      </c>
      <c r="D4" s="92" t="s">
        <v>156</v>
      </c>
      <c r="E4" s="92" t="s">
        <v>5</v>
      </c>
      <c r="F4" s="92" t="s">
        <v>6</v>
      </c>
      <c r="G4" s="93" t="s">
        <v>157</v>
      </c>
      <c r="H4" s="92" t="s">
        <v>158</v>
      </c>
      <c r="I4" s="92" t="s">
        <v>159</v>
      </c>
      <c r="J4" s="92" t="s">
        <v>160</v>
      </c>
      <c r="K4" s="92" t="s">
        <v>161</v>
      </c>
      <c r="L4" s="92" t="s">
        <v>162</v>
      </c>
    </row>
    <row r="5" spans="1:12" ht="12.75" customHeight="1" x14ac:dyDescent="0.25">
      <c r="A5" s="94" t="s">
        <v>3</v>
      </c>
      <c r="B5" s="95" t="s">
        <v>189</v>
      </c>
      <c r="C5" s="96" t="s">
        <v>154</v>
      </c>
      <c r="D5" s="97"/>
      <c r="E5" s="98"/>
      <c r="F5" s="98"/>
      <c r="G5" s="98"/>
      <c r="H5" s="98"/>
      <c r="I5" s="98"/>
      <c r="J5" s="98"/>
      <c r="K5" s="98"/>
      <c r="L5" s="99">
        <f>SUM(L7:L18)</f>
        <v>0</v>
      </c>
    </row>
    <row r="6" spans="1:12" ht="12" customHeight="1" x14ac:dyDescent="0.25">
      <c r="A6" s="100"/>
      <c r="B6" s="101"/>
      <c r="C6" s="101"/>
      <c r="D6" s="102"/>
      <c r="E6" s="102"/>
      <c r="F6" s="102"/>
      <c r="G6" s="103"/>
      <c r="H6" s="102"/>
      <c r="I6" s="102"/>
      <c r="J6" s="102"/>
      <c r="K6" s="102"/>
      <c r="L6" s="102"/>
    </row>
    <row r="7" spans="1:12" ht="12" customHeight="1" x14ac:dyDescent="0.25">
      <c r="A7" s="104">
        <v>1</v>
      </c>
      <c r="B7" s="105" t="s">
        <v>189</v>
      </c>
      <c r="C7" s="105" t="s">
        <v>154</v>
      </c>
      <c r="D7" s="106"/>
      <c r="E7" s="104">
        <v>112</v>
      </c>
      <c r="F7" s="104">
        <v>222</v>
      </c>
      <c r="G7" s="782"/>
      <c r="H7" s="107" t="s">
        <v>164</v>
      </c>
      <c r="I7" s="13"/>
      <c r="J7" s="13"/>
      <c r="K7" s="757"/>
      <c r="L7" s="108">
        <f>K7*J7*I7</f>
        <v>0</v>
      </c>
    </row>
    <row r="8" spans="1:12" ht="12" customHeight="1" x14ac:dyDescent="0.25">
      <c r="A8" s="104">
        <v>2</v>
      </c>
      <c r="B8" s="105" t="s">
        <v>189</v>
      </c>
      <c r="C8" s="105" t="s">
        <v>154</v>
      </c>
      <c r="D8" s="107" t="s">
        <v>165</v>
      </c>
      <c r="E8" s="104">
        <v>112</v>
      </c>
      <c r="F8" s="104">
        <v>226</v>
      </c>
      <c r="G8" s="783"/>
      <c r="H8" s="107" t="s">
        <v>166</v>
      </c>
      <c r="I8" s="13"/>
      <c r="J8" s="13"/>
      <c r="K8" s="757"/>
      <c r="L8" s="108">
        <f t="shared" ref="L8:L15" si="0">K8*J8*I8</f>
        <v>0</v>
      </c>
    </row>
    <row r="9" spans="1:12" ht="12" customHeight="1" x14ac:dyDescent="0.25">
      <c r="A9" s="104">
        <v>3</v>
      </c>
      <c r="B9" s="105" t="s">
        <v>189</v>
      </c>
      <c r="C9" s="105" t="s">
        <v>154</v>
      </c>
      <c r="D9" s="107" t="s">
        <v>167</v>
      </c>
      <c r="E9" s="104">
        <v>112</v>
      </c>
      <c r="F9" s="104">
        <v>212</v>
      </c>
      <c r="G9" s="784"/>
      <c r="H9" s="107" t="s">
        <v>168</v>
      </c>
      <c r="I9" s="13"/>
      <c r="J9" s="13"/>
      <c r="K9" s="757"/>
      <c r="L9" s="108">
        <f t="shared" si="0"/>
        <v>0</v>
      </c>
    </row>
    <row r="10" spans="1:12" ht="12" customHeight="1" x14ac:dyDescent="0.25">
      <c r="A10" s="104">
        <v>4</v>
      </c>
      <c r="B10" s="105" t="s">
        <v>189</v>
      </c>
      <c r="C10" s="105" t="s">
        <v>154</v>
      </c>
      <c r="D10" s="106"/>
      <c r="E10" s="104">
        <v>112</v>
      </c>
      <c r="F10" s="104">
        <v>222</v>
      </c>
      <c r="G10" s="782"/>
      <c r="H10" s="107" t="s">
        <v>164</v>
      </c>
      <c r="I10" s="13"/>
      <c r="J10" s="13"/>
      <c r="K10" s="757"/>
      <c r="L10" s="108">
        <f t="shared" si="0"/>
        <v>0</v>
      </c>
    </row>
    <row r="11" spans="1:12" ht="12" customHeight="1" x14ac:dyDescent="0.25">
      <c r="A11" s="104">
        <v>5</v>
      </c>
      <c r="B11" s="105" t="s">
        <v>189</v>
      </c>
      <c r="C11" s="105" t="s">
        <v>154</v>
      </c>
      <c r="D11" s="107" t="s">
        <v>165</v>
      </c>
      <c r="E11" s="104">
        <v>112</v>
      </c>
      <c r="F11" s="104">
        <v>226</v>
      </c>
      <c r="G11" s="783"/>
      <c r="H11" s="107" t="s">
        <v>166</v>
      </c>
      <c r="I11" s="13"/>
      <c r="J11" s="13"/>
      <c r="K11" s="757"/>
      <c r="L11" s="108">
        <f t="shared" si="0"/>
        <v>0</v>
      </c>
    </row>
    <row r="12" spans="1:12" ht="12" customHeight="1" x14ac:dyDescent="0.25">
      <c r="A12" s="104">
        <v>6</v>
      </c>
      <c r="B12" s="105" t="s">
        <v>189</v>
      </c>
      <c r="C12" s="105" t="s">
        <v>154</v>
      </c>
      <c r="D12" s="107" t="s">
        <v>167</v>
      </c>
      <c r="E12" s="104">
        <v>112</v>
      </c>
      <c r="F12" s="104">
        <v>212</v>
      </c>
      <c r="G12" s="784"/>
      <c r="H12" s="107" t="s">
        <v>168</v>
      </c>
      <c r="I12" s="13"/>
      <c r="J12" s="13"/>
      <c r="K12" s="757"/>
      <c r="L12" s="108">
        <f t="shared" si="0"/>
        <v>0</v>
      </c>
    </row>
    <row r="13" spans="1:12" ht="12" customHeight="1" x14ac:dyDescent="0.25">
      <c r="A13" s="109">
        <v>7</v>
      </c>
      <c r="B13" s="110" t="s">
        <v>189</v>
      </c>
      <c r="C13" s="110" t="s">
        <v>154</v>
      </c>
      <c r="D13" s="106"/>
      <c r="E13" s="109">
        <v>112</v>
      </c>
      <c r="F13" s="109">
        <v>222</v>
      </c>
      <c r="G13" s="782"/>
      <c r="H13" s="111" t="s">
        <v>164</v>
      </c>
      <c r="I13" s="13"/>
      <c r="J13" s="13"/>
      <c r="K13" s="757"/>
      <c r="L13" s="112">
        <f t="shared" si="0"/>
        <v>0</v>
      </c>
    </row>
    <row r="14" spans="1:12" ht="12" customHeight="1" x14ac:dyDescent="0.25">
      <c r="A14" s="109">
        <v>8</v>
      </c>
      <c r="B14" s="110" t="s">
        <v>189</v>
      </c>
      <c r="C14" s="110" t="s">
        <v>154</v>
      </c>
      <c r="D14" s="111" t="s">
        <v>165</v>
      </c>
      <c r="E14" s="109">
        <v>112</v>
      </c>
      <c r="F14" s="109">
        <v>226</v>
      </c>
      <c r="G14" s="783"/>
      <c r="H14" s="111" t="s">
        <v>166</v>
      </c>
      <c r="I14" s="13"/>
      <c r="J14" s="13"/>
      <c r="K14" s="757"/>
      <c r="L14" s="112">
        <f t="shared" si="0"/>
        <v>0</v>
      </c>
    </row>
    <row r="15" spans="1:12" ht="12" customHeight="1" x14ac:dyDescent="0.25">
      <c r="A15" s="109">
        <v>9</v>
      </c>
      <c r="B15" s="110" t="s">
        <v>189</v>
      </c>
      <c r="C15" s="110" t="s">
        <v>154</v>
      </c>
      <c r="D15" s="111" t="s">
        <v>167</v>
      </c>
      <c r="E15" s="109">
        <v>112</v>
      </c>
      <c r="F15" s="109">
        <v>212</v>
      </c>
      <c r="G15" s="784"/>
      <c r="H15" s="111" t="s">
        <v>168</v>
      </c>
      <c r="I15" s="13"/>
      <c r="J15" s="13"/>
      <c r="K15" s="757"/>
      <c r="L15" s="112">
        <f t="shared" si="0"/>
        <v>0</v>
      </c>
    </row>
    <row r="20" spans="2:12" ht="15.75" thickBot="1" x14ac:dyDescent="0.3"/>
    <row r="21" spans="2:12" x14ac:dyDescent="0.25">
      <c r="D21" s="113" t="s">
        <v>148</v>
      </c>
      <c r="E21" s="114"/>
      <c r="F21" s="114"/>
      <c r="G21" s="114"/>
      <c r="H21" s="114"/>
      <c r="I21" s="114"/>
      <c r="J21" s="114"/>
      <c r="K21" s="114"/>
      <c r="L21" s="115"/>
    </row>
    <row r="22" spans="2:12" x14ac:dyDescent="0.25">
      <c r="B22" s="117"/>
      <c r="C22" s="117"/>
      <c r="D22" s="116" t="s">
        <v>169</v>
      </c>
      <c r="E22" s="117">
        <v>112</v>
      </c>
      <c r="F22" s="117">
        <v>222</v>
      </c>
      <c r="G22" s="779" t="s">
        <v>170</v>
      </c>
      <c r="H22" s="117" t="s">
        <v>164</v>
      </c>
      <c r="I22" s="117">
        <v>2</v>
      </c>
      <c r="J22" s="117">
        <v>1</v>
      </c>
      <c r="K22" s="117">
        <v>10000</v>
      </c>
      <c r="L22" s="118"/>
    </row>
    <row r="23" spans="2:12" x14ac:dyDescent="0.25">
      <c r="B23" s="117"/>
      <c r="C23" s="117"/>
      <c r="D23" s="116"/>
      <c r="E23" s="117">
        <v>112</v>
      </c>
      <c r="F23" s="117">
        <v>226</v>
      </c>
      <c r="G23" s="779"/>
      <c r="H23" s="117" t="s">
        <v>166</v>
      </c>
      <c r="I23" s="117">
        <v>2</v>
      </c>
      <c r="J23" s="117">
        <v>5</v>
      </c>
      <c r="K23" s="117">
        <v>2500</v>
      </c>
      <c r="L23" s="118"/>
    </row>
    <row r="24" spans="2:12" x14ac:dyDescent="0.25">
      <c r="B24" s="117"/>
      <c r="C24" s="117"/>
      <c r="D24" s="116"/>
      <c r="E24" s="117">
        <v>112</v>
      </c>
      <c r="F24" s="117">
        <v>212</v>
      </c>
      <c r="G24" s="779"/>
      <c r="H24" s="117" t="s">
        <v>168</v>
      </c>
      <c r="I24" s="117">
        <v>2</v>
      </c>
      <c r="J24" s="117">
        <v>6</v>
      </c>
      <c r="K24" s="117">
        <v>100</v>
      </c>
      <c r="L24" s="118"/>
    </row>
    <row r="25" spans="2:12" x14ac:dyDescent="0.25">
      <c r="B25" s="117"/>
      <c r="C25" s="117"/>
      <c r="D25" s="116" t="s">
        <v>171</v>
      </c>
      <c r="E25" s="117">
        <v>112</v>
      </c>
      <c r="F25" s="117">
        <v>222</v>
      </c>
      <c r="G25" s="779" t="s">
        <v>172</v>
      </c>
      <c r="H25" s="117" t="s">
        <v>164</v>
      </c>
      <c r="I25" s="117">
        <v>1</v>
      </c>
      <c r="J25" s="117">
        <v>1</v>
      </c>
      <c r="K25" s="117">
        <v>5000</v>
      </c>
      <c r="L25" s="118"/>
    </row>
    <row r="26" spans="2:12" x14ac:dyDescent="0.25">
      <c r="B26" s="117"/>
      <c r="C26" s="117"/>
      <c r="D26" s="116"/>
      <c r="E26" s="117">
        <v>112</v>
      </c>
      <c r="F26" s="117">
        <v>226</v>
      </c>
      <c r="G26" s="779"/>
      <c r="H26" s="117" t="s">
        <v>166</v>
      </c>
      <c r="I26" s="117">
        <v>1</v>
      </c>
      <c r="J26" s="117">
        <v>1</v>
      </c>
      <c r="K26" s="117">
        <v>2000</v>
      </c>
      <c r="L26" s="118"/>
    </row>
    <row r="27" spans="2:12" ht="15.75" thickBot="1" x14ac:dyDescent="0.3">
      <c r="B27" s="117"/>
      <c r="C27" s="117"/>
      <c r="D27" s="119"/>
      <c r="E27" s="120">
        <v>112</v>
      </c>
      <c r="F27" s="120">
        <v>212</v>
      </c>
      <c r="G27" s="780"/>
      <c r="H27" s="120" t="s">
        <v>168</v>
      </c>
      <c r="I27" s="120">
        <v>1</v>
      </c>
      <c r="J27" s="120">
        <v>2</v>
      </c>
      <c r="K27" s="120">
        <v>100</v>
      </c>
      <c r="L27" s="121"/>
    </row>
  </sheetData>
  <sheetProtection password="CF98" sheet="1" formatCells="0" formatColumns="0" formatRows="0" insertColumns="0" insertRows="0" deleteColumns="0" deleteRows="0" sort="0" autoFilter="0"/>
  <mergeCells count="6">
    <mergeCell ref="G25:G27"/>
    <mergeCell ref="A2:L2"/>
    <mergeCell ref="G7:G9"/>
    <mergeCell ref="G10:G12"/>
    <mergeCell ref="G13:G15"/>
    <mergeCell ref="G22:G24"/>
  </mergeCells>
  <printOptions horizontalCentered="1"/>
  <pageMargins left="0.70866141732283472" right="0.70866141732283472" top="0.74803149606299213" bottom="0.74803149606299213" header="0" footer="0"/>
  <pageSetup paperSize="9" scale="7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79998168889431442"/>
    <pageSetUpPr fitToPage="1"/>
  </sheetPr>
  <dimension ref="A1:J24"/>
  <sheetViews>
    <sheetView zoomScale="115" zoomScaleNormal="115" zoomScaleSheetLayoutView="115" workbookViewId="0">
      <pane xSplit="1" ySplit="7" topLeftCell="B8" activePane="bottomRight" state="frozen"/>
      <selection pane="topRight"/>
      <selection pane="bottomLeft"/>
      <selection pane="bottomRight" activeCell="G8" sqref="G8:I11"/>
    </sheetView>
  </sheetViews>
  <sheetFormatPr defaultColWidth="9.140625" defaultRowHeight="15" x14ac:dyDescent="0.25"/>
  <cols>
    <col min="1" max="2" width="9.140625" style="9"/>
    <col min="3" max="3" width="16.5703125" style="9" customWidth="1"/>
    <col min="4" max="4" width="26" style="9" customWidth="1"/>
    <col min="5" max="5" width="5.5703125" style="9" bestFit="1" customWidth="1"/>
    <col min="6" max="6" width="9.140625" style="9" bestFit="1" customWidth="1"/>
    <col min="7" max="7" width="12.5703125" style="9" customWidth="1"/>
    <col min="8" max="8" width="9.140625" style="9"/>
    <col min="9" max="9" width="20.42578125" style="9" customWidth="1"/>
    <col min="10" max="10" width="17" style="9" customWidth="1"/>
    <col min="11" max="16384" width="9.140625" style="9"/>
  </cols>
  <sheetData>
    <row r="1" spans="1:10" ht="15" customHeight="1" x14ac:dyDescent="0.25">
      <c r="J1" s="8"/>
    </row>
    <row r="2" spans="1:10" ht="15" customHeight="1" x14ac:dyDescent="0.25">
      <c r="C2" s="91"/>
    </row>
    <row r="3" spans="1:10" ht="15" customHeight="1" x14ac:dyDescent="0.25">
      <c r="A3" s="785" t="s">
        <v>173</v>
      </c>
      <c r="B3" s="785"/>
      <c r="C3" s="785"/>
      <c r="D3" s="785"/>
      <c r="E3" s="785"/>
      <c r="F3" s="785"/>
      <c r="G3" s="785"/>
      <c r="H3" s="785"/>
      <c r="I3" s="785"/>
      <c r="J3" s="785"/>
    </row>
    <row r="4" spans="1:10" ht="15" customHeight="1" x14ac:dyDescent="0.25">
      <c r="C4" s="91"/>
    </row>
    <row r="5" spans="1:10" ht="42.75" x14ac:dyDescent="0.25">
      <c r="A5" s="92" t="s">
        <v>155</v>
      </c>
      <c r="B5" s="92" t="s">
        <v>15</v>
      </c>
      <c r="C5" s="92" t="s">
        <v>14</v>
      </c>
      <c r="D5" s="92" t="s">
        <v>174</v>
      </c>
      <c r="E5" s="92" t="s">
        <v>5</v>
      </c>
      <c r="F5" s="92" t="s">
        <v>6</v>
      </c>
      <c r="G5" s="92" t="s">
        <v>175</v>
      </c>
      <c r="H5" s="92" t="s">
        <v>141</v>
      </c>
      <c r="I5" s="92" t="s">
        <v>176</v>
      </c>
      <c r="J5" s="92" t="s">
        <v>177</v>
      </c>
    </row>
    <row r="6" spans="1:10" ht="15.75" x14ac:dyDescent="0.25">
      <c r="A6" s="94" t="s">
        <v>3</v>
      </c>
      <c r="B6" s="122" t="s">
        <v>190</v>
      </c>
      <c r="C6" s="122" t="s">
        <v>173</v>
      </c>
      <c r="D6" s="123"/>
      <c r="E6" s="123"/>
      <c r="F6" s="123"/>
      <c r="G6" s="123"/>
      <c r="H6" s="123"/>
      <c r="I6" s="123"/>
      <c r="J6" s="124">
        <f>SUMIFS($J8:$J18,$B$8:$B$18,$B6)</f>
        <v>0</v>
      </c>
    </row>
    <row r="7" spans="1:10" ht="10.5" customHeight="1" x14ac:dyDescent="0.25">
      <c r="A7" s="100"/>
      <c r="B7" s="125"/>
      <c r="C7" s="125"/>
      <c r="D7" s="126"/>
      <c r="E7" s="126"/>
      <c r="F7" s="126"/>
      <c r="G7" s="126"/>
      <c r="H7" s="126"/>
      <c r="I7" s="127"/>
      <c r="J7" s="128"/>
    </row>
    <row r="8" spans="1:10" ht="15.75" x14ac:dyDescent="0.25">
      <c r="A8" s="104">
        <v>1</v>
      </c>
      <c r="B8" s="68" t="s">
        <v>190</v>
      </c>
      <c r="C8" s="68" t="s">
        <v>173</v>
      </c>
      <c r="D8" s="129"/>
      <c r="E8" s="130">
        <v>244</v>
      </c>
      <c r="F8" s="130">
        <v>226</v>
      </c>
      <c r="G8" s="129"/>
      <c r="H8" s="129"/>
      <c r="I8" s="131"/>
      <c r="J8" s="132">
        <f>I8*H8</f>
        <v>0</v>
      </c>
    </row>
    <row r="9" spans="1:10" ht="15.75" x14ac:dyDescent="0.25">
      <c r="A9" s="104">
        <v>2</v>
      </c>
      <c r="B9" s="68" t="s">
        <v>190</v>
      </c>
      <c r="C9" s="68" t="s">
        <v>173</v>
      </c>
      <c r="D9" s="129"/>
      <c r="E9" s="130">
        <v>244</v>
      </c>
      <c r="F9" s="130">
        <v>226</v>
      </c>
      <c r="G9" s="129"/>
      <c r="H9" s="129"/>
      <c r="I9" s="131"/>
      <c r="J9" s="132">
        <f>I9*H9</f>
        <v>0</v>
      </c>
    </row>
    <row r="10" spans="1:10" ht="15.75" x14ac:dyDescent="0.25">
      <c r="A10" s="104">
        <v>3</v>
      </c>
      <c r="B10" s="68" t="s">
        <v>190</v>
      </c>
      <c r="C10" s="68" t="s">
        <v>173</v>
      </c>
      <c r="D10" s="129"/>
      <c r="E10" s="130">
        <v>244</v>
      </c>
      <c r="F10" s="130">
        <v>226</v>
      </c>
      <c r="G10" s="129"/>
      <c r="H10" s="129"/>
      <c r="I10" s="131"/>
      <c r="J10" s="132">
        <f t="shared" ref="J10:J17" si="0">I10*H10</f>
        <v>0</v>
      </c>
    </row>
    <row r="11" spans="1:10" ht="15.75" x14ac:dyDescent="0.25">
      <c r="A11" s="104">
        <v>4</v>
      </c>
      <c r="B11" s="68" t="s">
        <v>190</v>
      </c>
      <c r="C11" s="68" t="s">
        <v>173</v>
      </c>
      <c r="D11" s="129"/>
      <c r="E11" s="130">
        <v>244</v>
      </c>
      <c r="F11" s="130">
        <v>226</v>
      </c>
      <c r="G11" s="129"/>
      <c r="H11" s="129"/>
      <c r="I11" s="131"/>
      <c r="J11" s="132">
        <f t="shared" si="0"/>
        <v>0</v>
      </c>
    </row>
    <row r="12" spans="1:10" ht="15.75" x14ac:dyDescent="0.25">
      <c r="A12" s="104">
        <v>5</v>
      </c>
      <c r="B12" s="68" t="s">
        <v>190</v>
      </c>
      <c r="C12" s="68" t="s">
        <v>173</v>
      </c>
      <c r="D12" s="129"/>
      <c r="E12" s="130">
        <v>244</v>
      </c>
      <c r="F12" s="130">
        <v>226</v>
      </c>
      <c r="G12" s="129"/>
      <c r="H12" s="129"/>
      <c r="I12" s="131"/>
      <c r="J12" s="132">
        <f t="shared" si="0"/>
        <v>0</v>
      </c>
    </row>
    <row r="13" spans="1:10" ht="15.75" x14ac:dyDescent="0.25">
      <c r="A13" s="104">
        <v>6</v>
      </c>
      <c r="B13" s="68" t="s">
        <v>190</v>
      </c>
      <c r="C13" s="68" t="s">
        <v>173</v>
      </c>
      <c r="D13" s="129"/>
      <c r="E13" s="130">
        <v>244</v>
      </c>
      <c r="F13" s="130">
        <v>226</v>
      </c>
      <c r="G13" s="129"/>
      <c r="H13" s="129"/>
      <c r="I13" s="131"/>
      <c r="J13" s="132">
        <f t="shared" si="0"/>
        <v>0</v>
      </c>
    </row>
    <row r="14" spans="1:10" ht="15.75" x14ac:dyDescent="0.25">
      <c r="A14" s="104">
        <v>7</v>
      </c>
      <c r="B14" s="68" t="s">
        <v>190</v>
      </c>
      <c r="C14" s="68" t="s">
        <v>173</v>
      </c>
      <c r="D14" s="129"/>
      <c r="E14" s="130">
        <v>244</v>
      </c>
      <c r="F14" s="130">
        <v>226</v>
      </c>
      <c r="G14" s="129"/>
      <c r="H14" s="129"/>
      <c r="I14" s="131"/>
      <c r="J14" s="132">
        <f t="shared" si="0"/>
        <v>0</v>
      </c>
    </row>
    <row r="15" spans="1:10" ht="15.75" x14ac:dyDescent="0.25">
      <c r="A15" s="104">
        <v>8</v>
      </c>
      <c r="B15" s="68" t="s">
        <v>190</v>
      </c>
      <c r="C15" s="68" t="s">
        <v>173</v>
      </c>
      <c r="D15" s="129"/>
      <c r="E15" s="130">
        <v>244</v>
      </c>
      <c r="F15" s="130">
        <v>226</v>
      </c>
      <c r="G15" s="129"/>
      <c r="H15" s="129"/>
      <c r="I15" s="131"/>
      <c r="J15" s="132">
        <f t="shared" si="0"/>
        <v>0</v>
      </c>
    </row>
    <row r="16" spans="1:10" ht="15.75" x14ac:dyDescent="0.25">
      <c r="A16" s="104">
        <v>9</v>
      </c>
      <c r="B16" s="68" t="s">
        <v>190</v>
      </c>
      <c r="C16" s="68" t="s">
        <v>173</v>
      </c>
      <c r="D16" s="129"/>
      <c r="E16" s="130">
        <v>244</v>
      </c>
      <c r="F16" s="130">
        <v>226</v>
      </c>
      <c r="G16" s="129"/>
      <c r="H16" s="129"/>
      <c r="I16" s="131"/>
      <c r="J16" s="132">
        <f t="shared" si="0"/>
        <v>0</v>
      </c>
    </row>
    <row r="17" spans="1:10" ht="15.75" x14ac:dyDescent="0.25">
      <c r="A17" s="109">
        <v>10</v>
      </c>
      <c r="B17" s="68" t="s">
        <v>190</v>
      </c>
      <c r="C17" s="76" t="s">
        <v>173</v>
      </c>
      <c r="D17" s="129"/>
      <c r="E17" s="133">
        <v>244</v>
      </c>
      <c r="F17" s="133">
        <v>226</v>
      </c>
      <c r="G17" s="129"/>
      <c r="H17" s="129"/>
      <c r="I17" s="131"/>
      <c r="J17" s="134">
        <f t="shared" si="0"/>
        <v>0</v>
      </c>
    </row>
    <row r="22" spans="1:10" ht="15.75" thickBot="1" x14ac:dyDescent="0.3"/>
    <row r="23" spans="1:10" x14ac:dyDescent="0.25">
      <c r="D23" s="113" t="s">
        <v>148</v>
      </c>
      <c r="E23" s="114"/>
      <c r="F23" s="114"/>
      <c r="G23" s="114"/>
      <c r="H23" s="114"/>
      <c r="I23" s="114"/>
      <c r="J23" s="115"/>
    </row>
    <row r="24" spans="1:10" ht="15.75" thickBot="1" x14ac:dyDescent="0.3">
      <c r="B24" s="141"/>
      <c r="C24" s="117"/>
      <c r="D24" s="119" t="s">
        <v>179</v>
      </c>
      <c r="E24" s="135">
        <v>244</v>
      </c>
      <c r="F24" s="135">
        <v>226</v>
      </c>
      <c r="G24" s="135" t="s">
        <v>152</v>
      </c>
      <c r="H24" s="120">
        <v>2</v>
      </c>
      <c r="I24" s="120">
        <v>1000</v>
      </c>
      <c r="J24" s="136"/>
    </row>
  </sheetData>
  <sheetProtection password="CF98" sheet="1" formatCells="0" formatColumns="0" formatRows="0" insertColumns="0" insertRows="0" deleteColumns="0" deleteRows="0" sort="0" autoFilter="0"/>
  <mergeCells count="1">
    <mergeCell ref="A3:J3"/>
  </mergeCells>
  <printOptions horizontalCentered="1"/>
  <pageMargins left="0.70866141732283472" right="0.70866141732283472" top="0.74803149606299213" bottom="0.74803149606299213" header="0" footer="0"/>
  <pageSetup paperSize="9" scale="9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X143"/>
  <sheetViews>
    <sheetView view="pageBreakPreview" zoomScale="55" zoomScaleNormal="70" zoomScaleSheetLayoutView="5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P9" sqref="P9:Q16"/>
    </sheetView>
  </sheetViews>
  <sheetFormatPr defaultRowHeight="15" outlineLevelCol="1" x14ac:dyDescent="0.25"/>
  <cols>
    <col min="1" max="1" width="5" style="1" customWidth="1"/>
    <col min="2" max="2" width="24" style="1" customWidth="1"/>
    <col min="3" max="3" width="23" style="1" customWidth="1"/>
    <col min="4" max="4" width="55.28515625" style="1" customWidth="1"/>
    <col min="5" max="5" width="23.5703125" style="1" hidden="1" customWidth="1" outlineLevel="1"/>
    <col min="6" max="6" width="23.5703125" style="1" customWidth="1" collapsed="1"/>
    <col min="7" max="7" width="28.28515625" style="1" customWidth="1"/>
    <col min="8" max="8" width="14.5703125" style="1" bestFit="1" customWidth="1"/>
    <col min="9" max="9" width="14.5703125" style="1" customWidth="1"/>
    <col min="10" max="10" width="28" style="1" bestFit="1" customWidth="1"/>
    <col min="11" max="11" width="12.42578125" style="1" customWidth="1"/>
    <col min="12" max="13" width="16.5703125" style="1" customWidth="1"/>
    <col min="14" max="15" width="15.7109375" style="1" customWidth="1"/>
    <col min="16" max="17" width="14.140625" style="1" customWidth="1"/>
    <col min="18" max="18" width="12.28515625" style="1" customWidth="1"/>
    <col min="19" max="19" width="20.42578125" style="1" customWidth="1"/>
    <col min="20" max="20" width="24.140625" style="1" customWidth="1"/>
    <col min="21" max="21" width="29.42578125" style="137" customWidth="1"/>
    <col min="22" max="16384" width="9.140625" style="1"/>
  </cols>
  <sheetData>
    <row r="1" spans="1:24" ht="19.5" thickBot="1" x14ac:dyDescent="0.3">
      <c r="C1" s="788" t="s">
        <v>358</v>
      </c>
      <c r="D1" s="789"/>
      <c r="E1" s="789"/>
      <c r="F1" s="789"/>
      <c r="G1" s="790"/>
      <c r="I1" s="51"/>
      <c r="J1" s="51"/>
    </row>
    <row r="2" spans="1:24" ht="18.75" x14ac:dyDescent="0.25">
      <c r="C2" s="398" t="s">
        <v>91</v>
      </c>
      <c r="D2" s="399" t="s">
        <v>51</v>
      </c>
      <c r="F2" s="399" t="s">
        <v>52</v>
      </c>
      <c r="G2" s="400" t="s">
        <v>69</v>
      </c>
      <c r="I2" s="401"/>
      <c r="J2" s="401"/>
    </row>
    <row r="3" spans="1:24" ht="15.75" x14ac:dyDescent="0.25">
      <c r="B3" s="402" t="s">
        <v>434</v>
      </c>
      <c r="C3" s="403">
        <f>SUM(D3:G3)</f>
        <v>1</v>
      </c>
      <c r="D3" s="404">
        <f>IF('Расчет участников НИР'!$J$1=Титул!$B$7,'Расчет участников НИР'!$K$3,'Расчет участников НИР'!$N$3)</f>
        <v>0.5</v>
      </c>
      <c r="F3" s="404">
        <f>IF('Расчет участников НИР'!$J$1=Титул!$B$7,'Расчет участников НИР'!$K$4,'Расчет участников НИР'!$N$4)</f>
        <v>0.3</v>
      </c>
      <c r="G3" s="405">
        <f>IF('Расчет участников НИР'!$J$1=Титул!$B$7,'Расчет участников НИР'!$K$5,'Расчет участников НИР'!$N$5)</f>
        <v>0.2</v>
      </c>
      <c r="I3" s="401"/>
      <c r="J3" s="401"/>
      <c r="N3" s="640"/>
      <c r="O3" s="640"/>
      <c r="P3" s="640"/>
      <c r="Q3" s="640"/>
      <c r="R3" s="640"/>
      <c r="S3" s="640"/>
      <c r="T3" s="640"/>
      <c r="U3" s="664"/>
    </row>
    <row r="4" spans="1:24" ht="16.5" thickBot="1" x14ac:dyDescent="0.3">
      <c r="B4" s="402" t="s">
        <v>435</v>
      </c>
      <c r="C4" s="406">
        <f>SUM(D4:G4)</f>
        <v>0</v>
      </c>
      <c r="D4" s="407" t="str">
        <f>IFERROR(COUNTIF($I$9:$I$108,"НПР")/(COUNTIF($I$9:$I$108,"НПР")+COUNTIF($I$9:$I$108,"НТР")+COUNTIF($I$9:$I$108,"Иные")),"0%")</f>
        <v>0%</v>
      </c>
      <c r="F4" s="407" t="str">
        <f>IFERROR(COUNTIF($I$9:$I$108,"НТР")/(COUNTIF($I$9:$I$108,"НПР")+COUNTIF($I$9:$I$108,"НТР")+COUNTIF($I$9:$I$108,"Иные")),"0%")</f>
        <v>0%</v>
      </c>
      <c r="G4" s="408" t="str">
        <f>IFERROR(COUNTIF($I$9:$I$108,"Иные")/(COUNTIF($I$9:$I$108,"НПР")+COUNTIF($I$9:$I$108,"НТР")+COUNTIF($I$9:$I$108,"Иные")),"0%")</f>
        <v>0%</v>
      </c>
      <c r="I4" s="401"/>
      <c r="J4" s="401"/>
    </row>
    <row r="5" spans="1:24" x14ac:dyDescent="0.25">
      <c r="J5" s="401"/>
      <c r="K5" s="401"/>
      <c r="L5" s="401"/>
      <c r="M5" s="401"/>
      <c r="N5" s="401"/>
      <c r="O5" s="661"/>
      <c r="P5" s="401"/>
      <c r="Q5" s="401"/>
      <c r="R5" s="401"/>
      <c r="S5" s="401"/>
      <c r="T5" s="401"/>
    </row>
    <row r="6" spans="1:24" ht="49.5" customHeight="1" x14ac:dyDescent="0.25">
      <c r="A6" s="786" t="s">
        <v>282</v>
      </c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98" t="s">
        <v>557</v>
      </c>
      <c r="Q6" s="798"/>
      <c r="R6" s="798"/>
      <c r="S6" s="798"/>
      <c r="T6" s="798"/>
      <c r="U6" s="665"/>
    </row>
    <row r="7" spans="1:24" s="229" customFormat="1" ht="60.75" customHeight="1" x14ac:dyDescent="0.3">
      <c r="A7" s="787" t="s">
        <v>0</v>
      </c>
      <c r="B7" s="787" t="s">
        <v>2</v>
      </c>
      <c r="C7" s="787" t="s">
        <v>37</v>
      </c>
      <c r="D7" s="787"/>
      <c r="E7" s="787"/>
      <c r="F7" s="787"/>
      <c r="G7" s="787"/>
      <c r="H7" s="787"/>
      <c r="I7" s="787"/>
      <c r="J7" s="791" t="s">
        <v>38</v>
      </c>
      <c r="K7" s="792"/>
      <c r="L7" s="787" t="s">
        <v>551</v>
      </c>
      <c r="M7" s="787"/>
      <c r="N7" s="793" t="s">
        <v>455</v>
      </c>
      <c r="O7" s="793" t="s">
        <v>555</v>
      </c>
      <c r="P7" s="795" t="s">
        <v>556</v>
      </c>
      <c r="Q7" s="795"/>
      <c r="R7" s="796" t="s">
        <v>455</v>
      </c>
      <c r="S7" s="796" t="s">
        <v>558</v>
      </c>
      <c r="T7" s="796" t="s">
        <v>563</v>
      </c>
      <c r="U7" s="787" t="s">
        <v>281</v>
      </c>
    </row>
    <row r="8" spans="1:24" s="229" customFormat="1" ht="153" customHeight="1" x14ac:dyDescent="0.3">
      <c r="A8" s="787"/>
      <c r="B8" s="787"/>
      <c r="C8" s="590" t="s">
        <v>39</v>
      </c>
      <c r="D8" s="590" t="s">
        <v>88</v>
      </c>
      <c r="E8" s="590" t="s">
        <v>276</v>
      </c>
      <c r="F8" s="590" t="s">
        <v>276</v>
      </c>
      <c r="G8" s="590" t="s">
        <v>398</v>
      </c>
      <c r="H8" s="590" t="s">
        <v>35</v>
      </c>
      <c r="I8" s="590" t="s">
        <v>117</v>
      </c>
      <c r="J8" s="590" t="s">
        <v>7</v>
      </c>
      <c r="K8" s="590" t="s">
        <v>9</v>
      </c>
      <c r="L8" s="590" t="s">
        <v>458</v>
      </c>
      <c r="M8" s="590" t="s">
        <v>459</v>
      </c>
      <c r="N8" s="794"/>
      <c r="O8" s="794"/>
      <c r="P8" s="657" t="s">
        <v>458</v>
      </c>
      <c r="Q8" s="657" t="s">
        <v>459</v>
      </c>
      <c r="R8" s="797"/>
      <c r="S8" s="797"/>
      <c r="T8" s="797"/>
      <c r="U8" s="787"/>
    </row>
    <row r="9" spans="1:24" ht="15.75" x14ac:dyDescent="0.25">
      <c r="A9" s="247">
        <v>1</v>
      </c>
      <c r="B9" s="649"/>
      <c r="C9" s="554"/>
      <c r="D9" s="553"/>
      <c r="E9" s="671"/>
      <c r="F9" s="553"/>
      <c r="G9" s="554"/>
      <c r="H9" s="247" t="str">
        <f>IFERROR(INDEX(Расценка!$1:$1048576,MATCH(D9,Расценка!$N:$N,0),MATCH($H$8,Расценка!$2:$2,0)),"-")</f>
        <v>-</v>
      </c>
      <c r="I9" s="247" t="str">
        <f>IFERROR(VLOOKUP($H9,Расценка!$S$10:$T$15,2,FALSE),"-")</f>
        <v>-</v>
      </c>
      <c r="J9" s="553"/>
      <c r="K9" s="683"/>
      <c r="L9" s="684"/>
      <c r="M9" s="684"/>
      <c r="N9" s="589" t="str">
        <f>IF(OR(L9=0,M9=0),"0,00",ROUNDDOWN(Расценка!$V$20*NETWORKDAYS.INTL(L9,M9,1,справочник!$V$2:$V$18),0))</f>
        <v>0,00</v>
      </c>
      <c r="O9" s="589">
        <f>IF(N9="0,00",0,'Трудозатраты членов ВТК'!F17)</f>
        <v>0</v>
      </c>
      <c r="P9" s="587"/>
      <c r="Q9" s="587"/>
      <c r="R9" s="663" t="str">
        <f>IF(OR(P9=0,Q9=0),"0,00",ROUNDDOWN(Расценка!$V$20*NETWORKDAYS.INTL(P9,Q9,1,справочник!$V$2:$V$18),0))</f>
        <v>0,00</v>
      </c>
      <c r="S9" s="663" t="str">
        <f>IF(OR(P9=0,Q9=0,N9="0,00"),"0,00",ROUNDDOWN(Расценка!$V$20*NETWORKDAYS.INTL(P9,Q9,1,справочник!$V$2:$V$18)*'Трудозатраты членов ВТК'!G17,0))</f>
        <v>0,00</v>
      </c>
      <c r="T9" s="663">
        <f>IF(L9="",'Трудозатраты членов ВТК'!F17,IF(OR(O9="0,00",S9="0,00"),0,'Трудозатраты членов ВТК'!F17-S9))</f>
        <v>0</v>
      </c>
      <c r="U9" s="652"/>
      <c r="W9" s="655"/>
      <c r="X9" s="655"/>
    </row>
    <row r="10" spans="1:24" ht="15.75" x14ac:dyDescent="0.25">
      <c r="A10" s="247">
        <v>2</v>
      </c>
      <c r="B10" s="553"/>
      <c r="C10" s="554"/>
      <c r="D10" s="553"/>
      <c r="E10" s="671"/>
      <c r="F10" s="553"/>
      <c r="G10" s="554"/>
      <c r="H10" s="247" t="str">
        <f>IFERROR(INDEX(Расценка!$1:$1048576,MATCH(D10,Расценка!$N:$N,0),MATCH($H$8,Расценка!$2:$2,0)),"-")</f>
        <v>-</v>
      </c>
      <c r="I10" s="247" t="str">
        <f>IFERROR(VLOOKUP($H10,Расценка!$S$10:$T$15,2,FALSE),"-")</f>
        <v>-</v>
      </c>
      <c r="J10" s="553"/>
      <c r="K10" s="683"/>
      <c r="L10" s="684"/>
      <c r="M10" s="684"/>
      <c r="N10" s="589" t="str">
        <f>IF(OR(L10=0,M10=0),"0,00",ROUNDDOWN(Расценка!$V$20*NETWORKDAYS.INTL(L10,M10,1,справочник!$V$2:$V$18),0))</f>
        <v>0,00</v>
      </c>
      <c r="O10" s="589">
        <f>IF(N10="0,00",0,'Трудозатраты членов ВТК'!F18)</f>
        <v>0</v>
      </c>
      <c r="P10" s="587"/>
      <c r="Q10" s="587"/>
      <c r="R10" s="663" t="str">
        <f>IF(OR(P10=0,Q10=0),"0,00",ROUNDDOWN(Расценка!$V$20*NETWORKDAYS.INTL(P10,Q10,1,справочник!$V$2:$V$18),0))</f>
        <v>0,00</v>
      </c>
      <c r="S10" s="663" t="str">
        <f>IF(OR(P10=0,Q10=0,N10="0,00"),"0,00",ROUNDDOWN(Расценка!$V$20*NETWORKDAYS.INTL(P10,Q10,1,справочник!$V$2:$V$18)*'Трудозатраты членов ВТК'!G18,0))</f>
        <v>0,00</v>
      </c>
      <c r="T10" s="663">
        <f>IF(L10="",'Трудозатраты членов ВТК'!F18,IF(OR(O10="0,00",S10="0,00"),0,'Трудозатраты членов ВТК'!F18-S10))</f>
        <v>0</v>
      </c>
      <c r="U10" s="652"/>
      <c r="W10" s="655"/>
      <c r="X10" s="655"/>
    </row>
    <row r="11" spans="1:24" ht="15.75" x14ac:dyDescent="0.25">
      <c r="A11" s="247">
        <v>3</v>
      </c>
      <c r="B11" s="553"/>
      <c r="C11" s="554"/>
      <c r="D11" s="553"/>
      <c r="E11" s="671"/>
      <c r="F11" s="553"/>
      <c r="G11" s="554"/>
      <c r="H11" s="247" t="str">
        <f>IFERROR(INDEX(Расценка!$1:$1048576,MATCH(D11,Расценка!$N:$N,0),MATCH($H$8,Расценка!$2:$2,0)),"-")</f>
        <v>-</v>
      </c>
      <c r="I11" s="247" t="str">
        <f>IFERROR(VLOOKUP($H11,Расценка!$S$10:$T$15,2,FALSE),"-")</f>
        <v>-</v>
      </c>
      <c r="J11" s="553"/>
      <c r="K11" s="683"/>
      <c r="L11" s="684"/>
      <c r="M11" s="684"/>
      <c r="N11" s="589" t="str">
        <f>IF(OR(L11=0,M11=0),"0,00",ROUNDDOWN(Расценка!$V$20*NETWORKDAYS.INTL(L11,M11,1,справочник!$V$2:$V$18),0))</f>
        <v>0,00</v>
      </c>
      <c r="O11" s="589">
        <f>IF(N11="0,00",0,'Трудозатраты членов ВТК'!F19)</f>
        <v>0</v>
      </c>
      <c r="P11" s="587"/>
      <c r="Q11" s="587"/>
      <c r="R11" s="663" t="str">
        <f>IF(OR(P11=0,Q11=0),"0,00",ROUNDDOWN(Расценка!$V$20*NETWORKDAYS.INTL(P11,Q11,1,справочник!$V$2:$V$18),0))</f>
        <v>0,00</v>
      </c>
      <c r="S11" s="663" t="str">
        <f>IF(OR(P11=0,Q11=0,N11="0,00"),"0,00",ROUNDDOWN(Расценка!$V$20*NETWORKDAYS.INTL(P11,Q11,1,справочник!$V$2:$V$18)*'Трудозатраты членов ВТК'!G19,0))</f>
        <v>0,00</v>
      </c>
      <c r="T11" s="663">
        <f>IF(L11="",'Трудозатраты членов ВТК'!F19,IF(OR(O11="0,00",S11="0,00"),0,'Трудозатраты членов ВТК'!F19-S11))</f>
        <v>0</v>
      </c>
      <c r="U11" s="652"/>
      <c r="W11" s="655"/>
      <c r="X11" s="655"/>
    </row>
    <row r="12" spans="1:24" ht="15.75" x14ac:dyDescent="0.25">
      <c r="A12" s="247">
        <v>4</v>
      </c>
      <c r="B12" s="553"/>
      <c r="C12" s="554"/>
      <c r="D12" s="553"/>
      <c r="E12" s="671"/>
      <c r="F12" s="553"/>
      <c r="G12" s="554"/>
      <c r="H12" s="247" t="str">
        <f>IFERROR(INDEX(Расценка!$1:$1048576,MATCH(D12,Расценка!$N:$N,0),MATCH($H$8,Расценка!$2:$2,0)),"-")</f>
        <v>-</v>
      </c>
      <c r="I12" s="247" t="str">
        <f>IFERROR(VLOOKUP($H12,Расценка!$S$10:$T$15,2,FALSE),"-")</f>
        <v>-</v>
      </c>
      <c r="J12" s="553"/>
      <c r="K12" s="683"/>
      <c r="L12" s="684"/>
      <c r="M12" s="684"/>
      <c r="N12" s="589" t="str">
        <f>IF(OR(L12=0,M12=0),"0,00",ROUNDDOWN(Расценка!$V$20*NETWORKDAYS.INTL(L12,M12,1,справочник!$V$2:$V$18),0))</f>
        <v>0,00</v>
      </c>
      <c r="O12" s="589">
        <f>IF(N12="0,00",0,'Трудозатраты членов ВТК'!F20)</f>
        <v>0</v>
      </c>
      <c r="P12" s="587"/>
      <c r="Q12" s="587"/>
      <c r="R12" s="663" t="str">
        <f>IF(OR(P12=0,Q12=0),"0,00",ROUNDDOWN(Расценка!$V$20*NETWORKDAYS.INTL(P12,Q12,1,справочник!$V$2:$V$18),0))</f>
        <v>0,00</v>
      </c>
      <c r="S12" s="663" t="str">
        <f>IF(OR(P12=0,Q12=0,N12="0,00"),"0,00",ROUNDDOWN(Расценка!$V$20*NETWORKDAYS.INTL(P12,Q12,1,справочник!$V$2:$V$18)*'Трудозатраты членов ВТК'!G20,0))</f>
        <v>0,00</v>
      </c>
      <c r="T12" s="663">
        <f>IF(L12="",'Трудозатраты членов ВТК'!F20,IF(OR(O12="0,00",S12="0,00"),0,'Трудозатраты членов ВТК'!F20-S12))</f>
        <v>0</v>
      </c>
      <c r="U12" s="656"/>
      <c r="W12" s="655"/>
      <c r="X12" s="655"/>
    </row>
    <row r="13" spans="1:24" ht="15.75" x14ac:dyDescent="0.25">
      <c r="A13" s="247">
        <v>5</v>
      </c>
      <c r="B13" s="553"/>
      <c r="C13" s="554"/>
      <c r="D13" s="553"/>
      <c r="E13" s="671"/>
      <c r="F13" s="553"/>
      <c r="G13" s="554"/>
      <c r="H13" s="247" t="str">
        <f>IFERROR(INDEX(Расценка!$1:$1048576,MATCH(D13,Расценка!$N:$N,0),MATCH($H$8,Расценка!$2:$2,0)),"-")</f>
        <v>-</v>
      </c>
      <c r="I13" s="247" t="str">
        <f>IFERROR(VLOOKUP($H13,Расценка!$S$10:$T$15,2,FALSE),"-")</f>
        <v>-</v>
      </c>
      <c r="J13" s="553"/>
      <c r="K13" s="683"/>
      <c r="L13" s="684"/>
      <c r="M13" s="684"/>
      <c r="N13" s="589" t="str">
        <f>IF(OR(L13=0,M13=0),"0,00",ROUNDDOWN(Расценка!$V$20*NETWORKDAYS.INTL(L13,M13,1,справочник!$V$2:$V$18),0))</f>
        <v>0,00</v>
      </c>
      <c r="O13" s="589">
        <f>IF(N13="0,00",0,'Трудозатраты членов ВТК'!F21)</f>
        <v>0</v>
      </c>
      <c r="P13" s="587"/>
      <c r="Q13" s="587"/>
      <c r="R13" s="663" t="str">
        <f>IF(OR(P13=0,Q13=0),"0,00",ROUNDDOWN(Расценка!$V$20*NETWORKDAYS.INTL(P13,Q13,1,справочник!$V$2:$V$18),0))</f>
        <v>0,00</v>
      </c>
      <c r="S13" s="663" t="str">
        <f>IF(OR(P13=0,Q13=0,N13="0,00"),"0,00",ROUNDDOWN(Расценка!$V$20*NETWORKDAYS.INTL(P13,Q13,1,справочник!$V$2:$V$18)*'Трудозатраты членов ВТК'!G21,0))</f>
        <v>0,00</v>
      </c>
      <c r="T13" s="663">
        <f>IF(L13="",'Трудозатраты членов ВТК'!F21,IF(OR(O13="0,00",S13="0,00"),0,'Трудозатраты членов ВТК'!F21-S13))</f>
        <v>0</v>
      </c>
      <c r="U13" s="662"/>
      <c r="W13" s="655"/>
      <c r="X13" s="655"/>
    </row>
    <row r="14" spans="1:24" ht="15.75" x14ac:dyDescent="0.25">
      <c r="A14" s="247">
        <v>6</v>
      </c>
      <c r="B14" s="553"/>
      <c r="C14" s="554"/>
      <c r="D14" s="553"/>
      <c r="E14" s="671"/>
      <c r="F14" s="553"/>
      <c r="G14" s="554"/>
      <c r="H14" s="247" t="str">
        <f>IFERROR(INDEX(Расценка!$1:$1048576,MATCH(D14,Расценка!$N:$N,0),MATCH($H$8,Расценка!$2:$2,0)),"-")</f>
        <v>-</v>
      </c>
      <c r="I14" s="247" t="str">
        <f>IFERROR(VLOOKUP($H14,Расценка!$S$10:$T$15,2,FALSE),"-")</f>
        <v>-</v>
      </c>
      <c r="J14" s="553"/>
      <c r="K14" s="683"/>
      <c r="L14" s="684"/>
      <c r="M14" s="684"/>
      <c r="N14" s="589" t="str">
        <f>IF(OR(L14=0,M14=0),"0,00",ROUNDDOWN(Расценка!$V$20*NETWORKDAYS.INTL(L14,M14,1,справочник!$V$2:$V$18),0))</f>
        <v>0,00</v>
      </c>
      <c r="O14" s="589">
        <f>IF(N14="0,00",0,'Трудозатраты членов ВТК'!F22)</f>
        <v>0</v>
      </c>
      <c r="P14" s="587"/>
      <c r="Q14" s="587"/>
      <c r="R14" s="663" t="str">
        <f>IF(OR(P14=0,Q14=0),"0,00",ROUNDDOWN(Расценка!$V$20*NETWORKDAYS.INTL(P14,Q14,1,справочник!$V$2:$V$18),0))</f>
        <v>0,00</v>
      </c>
      <c r="S14" s="663" t="str">
        <f>IF(OR(P14=0,Q14=0,N14="0,00"),"0,00",ROUNDDOWN(Расценка!$V$20*NETWORKDAYS.INTL(P14,Q14,1,справочник!$V$2:$V$18)*'Трудозатраты членов ВТК'!G22,0))</f>
        <v>0,00</v>
      </c>
      <c r="T14" s="663">
        <f>IF(L14="",'Трудозатраты членов ВТК'!F22,IF(OR(O14="0,00",S14="0,00"),0,'Трудозатраты членов ВТК'!F22-S14))</f>
        <v>0</v>
      </c>
      <c r="U14" s="652"/>
      <c r="W14" s="655"/>
      <c r="X14" s="655"/>
    </row>
    <row r="15" spans="1:24" ht="15.75" x14ac:dyDescent="0.25">
      <c r="A15" s="247">
        <v>7</v>
      </c>
      <c r="B15" s="553"/>
      <c r="C15" s="554"/>
      <c r="D15" s="553"/>
      <c r="E15" s="671"/>
      <c r="F15" s="553"/>
      <c r="G15" s="554"/>
      <c r="H15" s="247" t="str">
        <f>IFERROR(INDEX(Расценка!$1:$1048576,MATCH(D15,Расценка!$N:$N,0),MATCH($H$8,Расценка!$2:$2,0)),"-")</f>
        <v>-</v>
      </c>
      <c r="I15" s="247" t="str">
        <f>IFERROR(VLOOKUP($H15,Расценка!$S$10:$T$15,2,FALSE),"-")</f>
        <v>-</v>
      </c>
      <c r="J15" s="553"/>
      <c r="K15" s="683"/>
      <c r="L15" s="684"/>
      <c r="M15" s="684"/>
      <c r="N15" s="589" t="str">
        <f>IF(OR(L15=0,M15=0),"0,00",ROUNDDOWN(Расценка!$V$20*NETWORKDAYS.INTL(L15,M15,1,справочник!$V$2:$V$18),0))</f>
        <v>0,00</v>
      </c>
      <c r="O15" s="589">
        <f>IF(N15="0,00",0,'Трудозатраты членов ВТК'!F23)</f>
        <v>0</v>
      </c>
      <c r="P15" s="587"/>
      <c r="Q15" s="587"/>
      <c r="R15" s="663" t="str">
        <f>IF(OR(P15=0,Q15=0),"0,00",ROUNDDOWN(Расценка!$V$20*NETWORKDAYS.INTL(P15,Q15,1,справочник!$V$2:$V$18),0))</f>
        <v>0,00</v>
      </c>
      <c r="S15" s="663" t="str">
        <f>IF(OR(P15=0,Q15=0,N15="0,00"),"0,00",ROUNDDOWN(Расценка!$V$20*NETWORKDAYS.INTL(P15,Q15,1,справочник!$V$2:$V$18)*'Трудозатраты членов ВТК'!G23,0))</f>
        <v>0,00</v>
      </c>
      <c r="T15" s="663">
        <f>IF(L15="",'Трудозатраты членов ВТК'!F23,IF(OR(O15="0,00",S15="0,00"),0,'Трудозатраты членов ВТК'!F23-S15))</f>
        <v>0</v>
      </c>
      <c r="U15" s="656"/>
      <c r="W15" s="655"/>
      <c r="X15" s="655"/>
    </row>
    <row r="16" spans="1:24" ht="15.75" x14ac:dyDescent="0.25">
      <c r="A16" s="247">
        <v>8</v>
      </c>
      <c r="B16" s="555"/>
      <c r="C16" s="555"/>
      <c r="D16" s="553"/>
      <c r="E16" s="671"/>
      <c r="F16" s="553"/>
      <c r="G16" s="554"/>
      <c r="H16" s="247" t="str">
        <f>IFERROR(INDEX(Расценка!$1:$1048576,MATCH(D16,Расценка!$N:$N,0),MATCH($H$8,Расценка!$2:$2,0)),"-")</f>
        <v>-</v>
      </c>
      <c r="I16" s="247" t="str">
        <f>IFERROR(VLOOKUP($H16,Расценка!$S$10:$T$15,2,FALSE),"-")</f>
        <v>-</v>
      </c>
      <c r="J16" s="553"/>
      <c r="K16" s="683"/>
      <c r="L16" s="684"/>
      <c r="M16" s="684"/>
      <c r="N16" s="589" t="str">
        <f>IF(OR(L16=0,M16=0),"0,00",ROUNDDOWN(Расценка!$V$20*NETWORKDAYS.INTL(L16,M16,1,справочник!$V$2:$V$18),0))</f>
        <v>0,00</v>
      </c>
      <c r="O16" s="589">
        <f>IF(N16="0,00",0,'Трудозатраты членов ВТК'!F24)</f>
        <v>0</v>
      </c>
      <c r="P16" s="587"/>
      <c r="Q16" s="587"/>
      <c r="R16" s="663" t="str">
        <f>IF(OR(P16=0,Q16=0),"0,00",ROUNDDOWN(Расценка!$V$20*NETWORKDAYS.INTL(P16,Q16,1,справочник!$V$2:$V$18),0))</f>
        <v>0,00</v>
      </c>
      <c r="S16" s="663" t="str">
        <f>IF(OR(P16=0,Q16=0,N16="0,00"),"0,00",ROUNDDOWN(Расценка!$V$20*NETWORKDAYS.INTL(P16,Q16,1,справочник!$V$2:$V$18)*'Трудозатраты членов ВТК'!G24,0))</f>
        <v>0,00</v>
      </c>
      <c r="T16" s="663">
        <f>IF(L16="",'Трудозатраты членов ВТК'!F24,IF(OR(O16="0,00",S16="0,00"),0,'Трудозатраты членов ВТК'!F24-S16))</f>
        <v>0</v>
      </c>
      <c r="U16" s="652"/>
      <c r="W16" s="655"/>
      <c r="X16" s="655"/>
    </row>
    <row r="17" spans="1:24" ht="15.75" x14ac:dyDescent="0.25">
      <c r="A17" s="247">
        <v>9</v>
      </c>
      <c r="B17" s="553"/>
      <c r="C17" s="554"/>
      <c r="D17" s="553"/>
      <c r="E17" s="671"/>
      <c r="F17" s="553"/>
      <c r="G17" s="554"/>
      <c r="H17" s="247" t="str">
        <f>IFERROR(INDEX(Расценка!$1:$1048576,MATCH(D17,Расценка!$N:$N,0),MATCH($H$8,Расценка!$2:$2,0)),"-")</f>
        <v>-</v>
      </c>
      <c r="I17" s="247" t="str">
        <f>IFERROR(VLOOKUP($H17,Расценка!$S$10:$T$15,2,FALSE),"-")</f>
        <v>-</v>
      </c>
      <c r="J17" s="553"/>
      <c r="K17" s="683"/>
      <c r="L17" s="684"/>
      <c r="M17" s="684"/>
      <c r="N17" s="589" t="str">
        <f>IF(OR(L17=0,M17=0),"0,00",ROUNDDOWN(Расценка!$V$20*NETWORKDAYS.INTL(L17,M17,1,справочник!$V$2:$V$18),0))</f>
        <v>0,00</v>
      </c>
      <c r="O17" s="589">
        <f>IF(N17="0,00",0,'Трудозатраты членов ВТК'!F25)</f>
        <v>0</v>
      </c>
      <c r="P17" s="587"/>
      <c r="Q17" s="587"/>
      <c r="R17" s="663" t="str">
        <f>IF(OR(P17=0,Q17=0),"0,00",ROUNDDOWN(Расценка!$V$20*NETWORKDAYS.INTL(P17,Q17,1,справочник!$V$2:$V$18),0))</f>
        <v>0,00</v>
      </c>
      <c r="S17" s="663" t="str">
        <f>IF(OR(P17=0,Q17=0,N17="0,00"),"0,00",ROUNDDOWN(Расценка!$V$20*NETWORKDAYS.INTL(P17,Q17,1,справочник!$V$2:$V$18)*'Трудозатраты членов ВТК'!G25,0))</f>
        <v>0,00</v>
      </c>
      <c r="T17" s="663">
        <f>IF(L17="",'Трудозатраты членов ВТК'!F25,IF(OR(O17="0,00",S17="0,00"),0,'Трудозатраты членов ВТК'!F25-S17))</f>
        <v>0</v>
      </c>
      <c r="U17" s="652"/>
      <c r="W17" s="655"/>
      <c r="X17" s="655"/>
    </row>
    <row r="18" spans="1:24" ht="15.75" x14ac:dyDescent="0.25">
      <c r="A18" s="247">
        <v>10</v>
      </c>
      <c r="B18" s="553"/>
      <c r="C18" s="554"/>
      <c r="D18" s="553"/>
      <c r="E18" s="671"/>
      <c r="F18" s="553"/>
      <c r="G18" s="554"/>
      <c r="H18" s="247" t="str">
        <f>IFERROR(INDEX(Расценка!$1:$1048576,MATCH(D18,Расценка!$N:$N,0),MATCH($H$8,Расценка!$2:$2,0)),"-")</f>
        <v>-</v>
      </c>
      <c r="I18" s="247" t="str">
        <f>IFERROR(VLOOKUP($H18,Расценка!$S$10:$T$15,2,FALSE),"-")</f>
        <v>-</v>
      </c>
      <c r="J18" s="553"/>
      <c r="K18" s="683"/>
      <c r="L18" s="684"/>
      <c r="M18" s="684"/>
      <c r="N18" s="589" t="str">
        <f>IF(OR(L18=0,M18=0),"0,00",ROUNDDOWN(Расценка!$V$20*NETWORKDAYS.INTL(L18,M18,1,справочник!$V$2:$V$18),0))</f>
        <v>0,00</v>
      </c>
      <c r="O18" s="589">
        <f>IF(N18="0,00",0,'Трудозатраты членов ВТК'!F26)</f>
        <v>0</v>
      </c>
      <c r="P18" s="587"/>
      <c r="Q18" s="587"/>
      <c r="R18" s="663" t="str">
        <f>IF(OR(P18=0,Q18=0),"0,00",ROUNDDOWN(Расценка!$V$20*NETWORKDAYS.INTL(P18,Q18,1,справочник!$V$2:$V$18),0))</f>
        <v>0,00</v>
      </c>
      <c r="S18" s="663" t="str">
        <f>IF(OR(P18=0,Q18=0,N18="0,00"),"0,00",ROUNDDOWN(Расценка!$V$20*NETWORKDAYS.INTL(P18,Q18,1,справочник!$V$2:$V$18)*'Трудозатраты членов ВТК'!G26,0))</f>
        <v>0,00</v>
      </c>
      <c r="T18" s="663">
        <f>IF(L18="",'Трудозатраты членов ВТК'!F26,IF(OR(O18="0,00",S18="0,00"),0,'Трудозатраты членов ВТК'!F26-S18))</f>
        <v>0</v>
      </c>
      <c r="U18" s="748"/>
      <c r="W18" s="655"/>
      <c r="X18" s="655"/>
    </row>
    <row r="19" spans="1:24" s="754" customFormat="1" ht="15.75" x14ac:dyDescent="0.25">
      <c r="A19" s="751">
        <v>11</v>
      </c>
      <c r="B19" s="555"/>
      <c r="C19" s="554"/>
      <c r="D19" s="553"/>
      <c r="E19" s="671"/>
      <c r="F19" s="553"/>
      <c r="G19" s="554"/>
      <c r="H19" s="751" t="str">
        <f>IFERROR(INDEX(Расценка!$1:$1048576,MATCH(D19,Расценка!$N:$N,0),MATCH($H$8,Расценка!$2:$2,0)),"-")</f>
        <v>-</v>
      </c>
      <c r="I19" s="751" t="str">
        <f>IFERROR(VLOOKUP($H19,Расценка!$S$10:$T$15,2,FALSE),"-")</f>
        <v>-</v>
      </c>
      <c r="J19" s="553"/>
      <c r="K19" s="683"/>
      <c r="L19" s="684"/>
      <c r="M19" s="684"/>
      <c r="N19" s="752" t="str">
        <f>IF(OR(L19=0,M19=0),"0,00",ROUNDDOWN(Расценка!$V$20*NETWORKDAYS.INTL(L19,M19,1,справочник!$V$2:$V$18),0))</f>
        <v>0,00</v>
      </c>
      <c r="O19" s="752">
        <f>IF(N19="0,00",0,'Трудозатраты членов ВТК'!F27)</f>
        <v>0</v>
      </c>
      <c r="P19" s="587"/>
      <c r="Q19" s="587"/>
      <c r="R19" s="753" t="str">
        <f>IF(OR(P19=0,Q19=0),"0,00",ROUNDDOWN(Расценка!$V$20*NETWORKDAYS.INTL(P19,Q19,1,справочник!$V$2:$V$18),0))</f>
        <v>0,00</v>
      </c>
      <c r="S19" s="753" t="str">
        <f>IF(OR(P19=0,Q19=0,N19="0,00"),"0,00",ROUNDDOWN(Расценка!$V$20*NETWORKDAYS.INTL(P19,Q19,1,справочник!$V$2:$V$18)*'Трудозатраты членов ВТК'!G27,0))</f>
        <v>0,00</v>
      </c>
      <c r="T19" s="753">
        <f>IF(L19="",'Трудозатраты членов ВТК'!F27,IF(OR(O19="0,00",S19="0,00"),0,'Трудозатраты членов ВТК'!F27-S19))</f>
        <v>0</v>
      </c>
      <c r="U19" s="652"/>
    </row>
    <row r="20" spans="1:24" ht="15.75" x14ac:dyDescent="0.25">
      <c r="A20" s="247">
        <v>12</v>
      </c>
      <c r="B20" s="553"/>
      <c r="C20" s="554"/>
      <c r="D20" s="553"/>
      <c r="E20" s="671"/>
      <c r="F20" s="553"/>
      <c r="G20" s="554"/>
      <c r="H20" s="247" t="str">
        <f>IFERROR(INDEX(Расценка!$1:$1048576,MATCH(D20,Расценка!$N:$N,0),MATCH($H$8,Расценка!$2:$2,0)),"-")</f>
        <v>-</v>
      </c>
      <c r="I20" s="247" t="str">
        <f>IFERROR(VLOOKUP($H20,Расценка!$S$10:$T$15,2,FALSE),"-")</f>
        <v>-</v>
      </c>
      <c r="J20" s="553"/>
      <c r="K20" s="683"/>
      <c r="L20" s="684"/>
      <c r="M20" s="684"/>
      <c r="N20" s="589" t="str">
        <f>IF(OR(L20=0,M20=0),"0,00",ROUNDDOWN(Расценка!$V$20*NETWORKDAYS.INTL(L20,M20,1,справочник!$V$2:$V$18),0))</f>
        <v>0,00</v>
      </c>
      <c r="O20" s="589">
        <f>IF(N20="0,00",0,'Трудозатраты членов ВТК'!F28)</f>
        <v>0</v>
      </c>
      <c r="P20" s="587"/>
      <c r="Q20" s="587"/>
      <c r="R20" s="663" t="str">
        <f>IF(OR(P20=0,Q20=0),"0,00",ROUNDDOWN(Расценка!$V$20*NETWORKDAYS.INTL(P20,Q20,1,справочник!$V$2:$V$18),0))</f>
        <v>0,00</v>
      </c>
      <c r="S20" s="663" t="str">
        <f>IF(OR(P20=0,Q20=0,N20="0,00"),"0,00",ROUNDDOWN(Расценка!$V$20*NETWORKDAYS.INTL(P20,Q20,1,справочник!$V$2:$V$18)*'Трудозатраты членов ВТК'!G28,0))</f>
        <v>0,00</v>
      </c>
      <c r="T20" s="663">
        <f>IF(L20="",'Трудозатраты членов ВТК'!F28,IF(OR(O20="0,00",S20="0,00"),0,'Трудозатраты членов ВТК'!F28-S20))</f>
        <v>0</v>
      </c>
      <c r="U20" s="656"/>
      <c r="W20" s="655"/>
      <c r="X20" s="655"/>
    </row>
    <row r="21" spans="1:24" ht="15.75" x14ac:dyDescent="0.25">
      <c r="A21" s="247">
        <v>13</v>
      </c>
      <c r="B21" s="553"/>
      <c r="C21" s="554"/>
      <c r="D21" s="553"/>
      <c r="E21" s="671"/>
      <c r="F21" s="553"/>
      <c r="G21" s="554"/>
      <c r="H21" s="247" t="str">
        <f>IFERROR(INDEX(Расценка!$1:$1048576,MATCH(D21,Расценка!$N:$N,0),MATCH($H$8,Расценка!$2:$2,0)),"-")</f>
        <v>-</v>
      </c>
      <c r="I21" s="247" t="str">
        <f>IFERROR(VLOOKUP($H21,Расценка!$S$10:$T$15,2,FALSE),"-")</f>
        <v>-</v>
      </c>
      <c r="J21" s="553"/>
      <c r="K21" s="683"/>
      <c r="L21" s="684"/>
      <c r="M21" s="684"/>
      <c r="N21" s="589" t="str">
        <f>IF(OR(L21=0,M21=0),"0,00",ROUNDDOWN(Расценка!$V$20*NETWORKDAYS.INTL(L21,M21,1,справочник!$V$2:$V$18),0))</f>
        <v>0,00</v>
      </c>
      <c r="O21" s="589">
        <f>IF(N21="0,00",0,'Трудозатраты членов ВТК'!F29)</f>
        <v>0</v>
      </c>
      <c r="P21" s="587"/>
      <c r="Q21" s="587"/>
      <c r="R21" s="663" t="str">
        <f>IF(OR(P21=0,Q21=0),"0,00",ROUNDDOWN(Расценка!$V$20*NETWORKDAYS.INTL(P21,Q21,1,справочник!$V$2:$V$18),0))</f>
        <v>0,00</v>
      </c>
      <c r="S21" s="663" t="str">
        <f>IF(OR(P21=0,Q21=0,N21="0,00"),"0,00",ROUNDDOWN(Расценка!$V$20*NETWORKDAYS.INTL(P21,Q21,1,справочник!$V$2:$V$18)*'Трудозатраты членов ВТК'!G29,0))</f>
        <v>0,00</v>
      </c>
      <c r="T21" s="663">
        <f>IF(L21="",'Трудозатраты членов ВТК'!F29,IF(OR(O21="0,00",S21="0,00"),0,'Трудозатраты членов ВТК'!F29-S21))</f>
        <v>0</v>
      </c>
      <c r="U21" s="652"/>
    </row>
    <row r="22" spans="1:24" ht="15.75" x14ac:dyDescent="0.25">
      <c r="A22" s="247">
        <v>14</v>
      </c>
      <c r="B22" s="553"/>
      <c r="C22" s="555"/>
      <c r="D22" s="553"/>
      <c r="E22" s="671"/>
      <c r="F22" s="553"/>
      <c r="G22" s="554"/>
      <c r="H22" s="247" t="str">
        <f>IFERROR(INDEX(Расценка!$1:$1048576,MATCH(D22,Расценка!$N:$N,0),MATCH($H$8,Расценка!$2:$2,0)),"-")</f>
        <v>-</v>
      </c>
      <c r="I22" s="247" t="str">
        <f>IFERROR(VLOOKUP($H22,Расценка!$S$10:$T$15,2,FALSE),"-")</f>
        <v>-</v>
      </c>
      <c r="J22" s="553"/>
      <c r="K22" s="683"/>
      <c r="L22" s="684"/>
      <c r="M22" s="684"/>
      <c r="N22" s="589" t="str">
        <f>IF(OR(L22=0,M22=0),"0,00",ROUNDDOWN(Расценка!$V$20*NETWORKDAYS.INTL(L22,M22,1,справочник!$V$2:$V$18),0))</f>
        <v>0,00</v>
      </c>
      <c r="O22" s="589">
        <f>IF(N22="0,00",0,'Трудозатраты членов ВТК'!F30)</f>
        <v>0</v>
      </c>
      <c r="P22" s="587"/>
      <c r="Q22" s="587"/>
      <c r="R22" s="663" t="str">
        <f>IF(OR(P22=0,Q22=0),"0,00",ROUNDDOWN(Расценка!$V$20*NETWORKDAYS.INTL(P22,Q22,1,справочник!$V$2:$V$18),0))</f>
        <v>0,00</v>
      </c>
      <c r="S22" s="663" t="str">
        <f>IF(OR(P22=0,Q22=0,N22="0,00"),"0,00",ROUNDDOWN(Расценка!$V$20*NETWORKDAYS.INTL(P22,Q22,1,справочник!$V$2:$V$18)*'Трудозатраты членов ВТК'!G30,0))</f>
        <v>0,00</v>
      </c>
      <c r="T22" s="663">
        <f>IF(L22="",'Трудозатраты членов ВТК'!F30,IF(OR(O22="0,00",S22="0,00"),0,'Трудозатраты членов ВТК'!F30-S22))</f>
        <v>0</v>
      </c>
      <c r="U22" s="652"/>
    </row>
    <row r="23" spans="1:24" ht="15.75" x14ac:dyDescent="0.25">
      <c r="A23" s="247">
        <v>15</v>
      </c>
      <c r="B23" s="555"/>
      <c r="C23" s="555"/>
      <c r="D23" s="553"/>
      <c r="E23" s="671"/>
      <c r="F23" s="553"/>
      <c r="G23" s="554"/>
      <c r="H23" s="247" t="str">
        <f>IFERROR(INDEX(Расценка!$1:$1048576,MATCH(D23,Расценка!$N:$N,0),MATCH($H$8,Расценка!$2:$2,0)),"-")</f>
        <v>-</v>
      </c>
      <c r="I23" s="247" t="str">
        <f>IFERROR(VLOOKUP($H23,Расценка!$S$10:$T$15,2,FALSE),"-")</f>
        <v>-</v>
      </c>
      <c r="J23" s="553"/>
      <c r="K23" s="683"/>
      <c r="L23" s="684"/>
      <c r="M23" s="684"/>
      <c r="N23" s="589" t="str">
        <f>IF(OR(L23=0,M23=0),"0,00",ROUNDDOWN(Расценка!$V$20*NETWORKDAYS.INTL(L23,M23,1,справочник!$V$2:$V$18),0))</f>
        <v>0,00</v>
      </c>
      <c r="O23" s="589">
        <f>IF(N23="0,00",0,'Трудозатраты членов ВТК'!F31)</f>
        <v>0</v>
      </c>
      <c r="P23" s="587"/>
      <c r="Q23" s="587"/>
      <c r="R23" s="663" t="str">
        <f>IF(OR(P23=0,Q23=0),"0,00",ROUNDDOWN(Расценка!$V$20*NETWORKDAYS.INTL(P23,Q23,1,справочник!$V$2:$V$18),0))</f>
        <v>0,00</v>
      </c>
      <c r="S23" s="663" t="str">
        <f>IF(OR(P23=0,Q23=0,N23="0,00"),"0,00",ROUNDDOWN(Расценка!$V$20*NETWORKDAYS.INTL(P23,Q23,1,справочник!$V$2:$V$18)*'Трудозатраты членов ВТК'!G31,0))</f>
        <v>0,00</v>
      </c>
      <c r="T23" s="663">
        <f>IF(L23="",'Трудозатраты членов ВТК'!F31,IF(OR(O23="0,00",S23="0,00"),0,'Трудозатраты членов ВТК'!F31-S23))</f>
        <v>0</v>
      </c>
      <c r="U23" s="652"/>
    </row>
    <row r="24" spans="1:24" ht="15.75" x14ac:dyDescent="0.25">
      <c r="A24" s="247">
        <v>16</v>
      </c>
      <c r="B24" s="555"/>
      <c r="C24" s="555"/>
      <c r="D24" s="553"/>
      <c r="E24" s="671"/>
      <c r="F24" s="553"/>
      <c r="G24" s="554"/>
      <c r="H24" s="247" t="str">
        <f>IFERROR(INDEX(Расценка!$1:$1048576,MATCH(D24,Расценка!$N:$N,0),MATCH($H$8,Расценка!$2:$2,0)),"-")</f>
        <v>-</v>
      </c>
      <c r="I24" s="247" t="str">
        <f>IFERROR(VLOOKUP($H24,Расценка!$S$10:$T$15,2,FALSE),"-")</f>
        <v>-</v>
      </c>
      <c r="J24" s="553"/>
      <c r="K24" s="683"/>
      <c r="L24" s="684"/>
      <c r="M24" s="684"/>
      <c r="N24" s="589" t="str">
        <f>IF(OR(L24=0,M24=0),"0,00",ROUNDDOWN(Расценка!$V$20*NETWORKDAYS.INTL(L24,M24,1,справочник!$V$2:$V$18),0))</f>
        <v>0,00</v>
      </c>
      <c r="O24" s="589">
        <f>IF(N24="0,00",0,'Трудозатраты членов ВТК'!F32)</f>
        <v>0</v>
      </c>
      <c r="P24" s="587"/>
      <c r="Q24" s="587"/>
      <c r="R24" s="663" t="str">
        <f>IF(OR(P24=0,Q24=0),"0,00",ROUNDDOWN(Расценка!$V$20*NETWORKDAYS.INTL(P24,Q24,1,справочник!$V$2:$V$18),0))</f>
        <v>0,00</v>
      </c>
      <c r="S24" s="663" t="str">
        <f>IF(OR(P24=0,Q24=0,N24="0,00"),"0,00",ROUNDDOWN(Расценка!$V$20*NETWORKDAYS.INTL(P24,Q24,1,справочник!$V$2:$V$18)*'Трудозатраты членов ВТК'!G32,0))</f>
        <v>0,00</v>
      </c>
      <c r="T24" s="663">
        <f>IF(L24="",'Трудозатраты членов ВТК'!F32,IF(OR(O24="0,00",S24="0,00"),0,'Трудозатраты членов ВТК'!F32-S24))</f>
        <v>0</v>
      </c>
      <c r="U24" s="652"/>
    </row>
    <row r="25" spans="1:24" ht="15.75" x14ac:dyDescent="0.25">
      <c r="A25" s="247">
        <v>17</v>
      </c>
      <c r="B25" s="555"/>
      <c r="C25" s="554"/>
      <c r="D25" s="553"/>
      <c r="E25" s="671"/>
      <c r="F25" s="553"/>
      <c r="G25" s="554"/>
      <c r="H25" s="247" t="str">
        <f>IFERROR(INDEX(Расценка!$1:$1048576,MATCH(D25,Расценка!$N:$N,0),MATCH($H$8,Расценка!$2:$2,0)),"-")</f>
        <v>-</v>
      </c>
      <c r="I25" s="247" t="str">
        <f>IFERROR(VLOOKUP($H25,Расценка!$S$10:$T$15,2,FALSE),"-")</f>
        <v>-</v>
      </c>
      <c r="J25" s="553"/>
      <c r="K25" s="683"/>
      <c r="L25" s="684"/>
      <c r="M25" s="684"/>
      <c r="N25" s="589" t="str">
        <f>IF(OR(L25=0,M25=0),"0,00",ROUNDDOWN(Расценка!$V$20*NETWORKDAYS.INTL(L25,M25,1,справочник!$V$2:$V$18),0))</f>
        <v>0,00</v>
      </c>
      <c r="O25" s="589">
        <f>IF(N25="0,00",0,'Трудозатраты членов ВТК'!F33)</f>
        <v>0</v>
      </c>
      <c r="P25" s="587"/>
      <c r="Q25" s="587"/>
      <c r="R25" s="663" t="str">
        <f>IF(OR(P25=0,Q25=0),"0,00",ROUNDDOWN(Расценка!$V$20*NETWORKDAYS.INTL(P25,Q25,1,справочник!$V$2:$V$18),0))</f>
        <v>0,00</v>
      </c>
      <c r="S25" s="663" t="str">
        <f>IF(OR(P25=0,Q25=0,N25="0,00"),"0,00",ROUNDDOWN(Расценка!$V$20*NETWORKDAYS.INTL(P25,Q25,1,справочник!$V$2:$V$18)*'Трудозатраты членов ВТК'!G33,0))</f>
        <v>0,00</v>
      </c>
      <c r="T25" s="663">
        <f>IF(L25="",'Трудозатраты членов ВТК'!F33,IF(OR(O25="0,00",S25="0,00"),0,'Трудозатраты членов ВТК'!F33-S25))</f>
        <v>0</v>
      </c>
      <c r="U25" s="652"/>
    </row>
    <row r="26" spans="1:24" s="754" customFormat="1" ht="15.75" x14ac:dyDescent="0.25">
      <c r="A26" s="751">
        <v>18</v>
      </c>
      <c r="B26" s="555"/>
      <c r="C26" s="554"/>
      <c r="D26" s="553"/>
      <c r="E26" s="671"/>
      <c r="F26" s="553"/>
      <c r="G26" s="554"/>
      <c r="H26" s="751" t="str">
        <f>IFERROR(INDEX(Расценка!$1:$1048576,MATCH(D26,Расценка!$N:$N,0),MATCH($H$8,Расценка!$2:$2,0)),"-")</f>
        <v>-</v>
      </c>
      <c r="I26" s="751" t="str">
        <f>IFERROR(VLOOKUP($H26,Расценка!$S$10:$T$15,2,FALSE),"-")</f>
        <v>-</v>
      </c>
      <c r="J26" s="553"/>
      <c r="K26" s="683"/>
      <c r="L26" s="684"/>
      <c r="M26" s="684"/>
      <c r="N26" s="752" t="str">
        <f>IF(OR(L26=0,M26=0),"0,00",ROUNDDOWN(Расценка!$V$20*NETWORKDAYS.INTL(L26,M26,1,справочник!$V$2:$V$18),0))</f>
        <v>0,00</v>
      </c>
      <c r="O26" s="752">
        <f>IF(N26="0,00",0,'Трудозатраты членов ВТК'!F34)</f>
        <v>0</v>
      </c>
      <c r="P26" s="587"/>
      <c r="Q26" s="587"/>
      <c r="R26" s="753" t="str">
        <f>IF(OR(P26=0,Q26=0),"0,00",ROUNDDOWN(Расценка!$V$20*NETWORKDAYS.INTL(P26,Q26,1,справочник!$V$2:$V$18),0))</f>
        <v>0,00</v>
      </c>
      <c r="S26" s="753" t="str">
        <f>IF(OR(P26=0,Q26=0,N26="0,00"),"0,00",ROUNDDOWN(Расценка!$V$20*NETWORKDAYS.INTL(P26,Q26,1,справочник!$V$2:$V$18)*'Трудозатраты членов ВТК'!G34,0))</f>
        <v>0,00</v>
      </c>
      <c r="T26" s="753">
        <f>IF(L26="",'Трудозатраты членов ВТК'!F34,IF(OR(O26="0,00",S26="0,00"),0,'Трудозатраты членов ВТК'!F34-S26))</f>
        <v>0</v>
      </c>
      <c r="U26" s="652"/>
    </row>
    <row r="27" spans="1:24" s="754" customFormat="1" ht="15.75" x14ac:dyDescent="0.25">
      <c r="A27" s="751">
        <v>19</v>
      </c>
      <c r="B27" s="555"/>
      <c r="C27" s="554"/>
      <c r="D27" s="553"/>
      <c r="E27" s="671"/>
      <c r="F27" s="553"/>
      <c r="G27" s="554"/>
      <c r="H27" s="751" t="str">
        <f>IFERROR(INDEX(Расценка!$1:$1048576,MATCH(D27,Расценка!$N:$N,0),MATCH($H$8,Расценка!$2:$2,0)),"-")</f>
        <v>-</v>
      </c>
      <c r="I27" s="751" t="str">
        <f>IFERROR(VLOOKUP($H27,Расценка!$S$10:$T$15,2,FALSE),"-")</f>
        <v>-</v>
      </c>
      <c r="J27" s="553"/>
      <c r="K27" s="683"/>
      <c r="L27" s="684"/>
      <c r="M27" s="684"/>
      <c r="N27" s="752" t="str">
        <f>IF(OR(L27=0,M27=0),"0,00",ROUNDDOWN(Расценка!$V$20*NETWORKDAYS.INTL(L27,M27,1,справочник!$V$2:$V$18),0))</f>
        <v>0,00</v>
      </c>
      <c r="O27" s="752">
        <f>IF(N27="0,00",0,'Трудозатраты членов ВТК'!F35)</f>
        <v>0</v>
      </c>
      <c r="P27" s="587"/>
      <c r="Q27" s="587"/>
      <c r="R27" s="753" t="str">
        <f>IF(OR(P27=0,Q27=0),"0,00",ROUNDDOWN(Расценка!$V$20*NETWORKDAYS.INTL(P27,Q27,1,справочник!$V$2:$V$18),0))</f>
        <v>0,00</v>
      </c>
      <c r="S27" s="753" t="str">
        <f>IF(OR(P27=0,Q27=0,N27="0,00"),"0,00",ROUNDDOWN(Расценка!$V$20*NETWORKDAYS.INTL(P27,Q27,1,справочник!$V$2:$V$18)*'Трудозатраты членов ВТК'!G35,0))</f>
        <v>0,00</v>
      </c>
      <c r="T27" s="753">
        <f>IF(L27="",'Трудозатраты членов ВТК'!F35,IF(OR(O27="0,00",S27="0,00"),0,'Трудозатраты членов ВТК'!F35-S27))</f>
        <v>0</v>
      </c>
      <c r="U27" s="652"/>
    </row>
    <row r="28" spans="1:24" ht="15.75" x14ac:dyDescent="0.25">
      <c r="A28" s="247">
        <v>20</v>
      </c>
      <c r="B28" s="555"/>
      <c r="C28" s="555"/>
      <c r="D28" s="553"/>
      <c r="E28" s="671"/>
      <c r="F28" s="553"/>
      <c r="G28" s="554"/>
      <c r="H28" s="247" t="str">
        <f>IFERROR(INDEX(Расценка!$1:$1048576,MATCH(D28,Расценка!$N:$N,0),MATCH($H$8,Расценка!$2:$2,0)),"-")</f>
        <v>-</v>
      </c>
      <c r="I28" s="247" t="str">
        <f>IFERROR(VLOOKUP($H28,Расценка!$S$10:$T$15,2,FALSE),"-")</f>
        <v>-</v>
      </c>
      <c r="J28" s="553"/>
      <c r="K28" s="683"/>
      <c r="L28" s="683"/>
      <c r="M28" s="683"/>
      <c r="N28" s="589" t="str">
        <f>IF(OR(L28=0,M28=0),"0,00",ROUNDDOWN(Расценка!$V$20*NETWORKDAYS.INTL(L28,M28,1,справочник!$V$2:$V$18),0))</f>
        <v>0,00</v>
      </c>
      <c r="O28" s="589">
        <f>IF(N28="0,00",0,'Трудозатраты членов ВТК'!F36)</f>
        <v>0</v>
      </c>
      <c r="P28" s="587"/>
      <c r="Q28" s="587"/>
      <c r="R28" s="663" t="str">
        <f>IF(OR(P28=0,Q28=0),"0,00",ROUNDDOWN(Расценка!$V$20*NETWORKDAYS.INTL(P28,Q28,1,справочник!$V$2:$V$18),0))</f>
        <v>0,00</v>
      </c>
      <c r="S28" s="663" t="str">
        <f>IF(OR(P28=0,Q28=0,N28="0,00"),"0,00",ROUNDDOWN(Расценка!$V$20*NETWORKDAYS.INTL(P28,Q28,1,справочник!$V$2:$V$18)*'Трудозатраты членов ВТК'!G36,0))</f>
        <v>0,00</v>
      </c>
      <c r="T28" s="663">
        <f>IF(L28="",'Трудозатраты членов ВТК'!F36,IF(OR(O28="0,00",S28="0,00"),0,'Трудозатраты членов ВТК'!F36-S28))</f>
        <v>0</v>
      </c>
      <c r="U28" s="652"/>
    </row>
    <row r="29" spans="1:24" ht="15.75" x14ac:dyDescent="0.25">
      <c r="A29" s="247">
        <v>21</v>
      </c>
      <c r="B29" s="555"/>
      <c r="C29" s="555"/>
      <c r="D29" s="553"/>
      <c r="E29" s="671"/>
      <c r="F29" s="553"/>
      <c r="G29" s="554"/>
      <c r="H29" s="247" t="str">
        <f>IFERROR(INDEX(Расценка!$1:$1048576,MATCH(D29,Расценка!$N:$N,0),MATCH($H$8,Расценка!$2:$2,0)),"-")</f>
        <v>-</v>
      </c>
      <c r="I29" s="247" t="str">
        <f>IFERROR(VLOOKUP($H29,Расценка!$S$10:$T$15,2,FALSE),"-")</f>
        <v>-</v>
      </c>
      <c r="J29" s="553"/>
      <c r="K29" s="683"/>
      <c r="L29" s="683"/>
      <c r="M29" s="683"/>
      <c r="N29" s="589" t="str">
        <f>IF(OR(L29=0,M29=0),"0,00",ROUNDDOWN(Расценка!$V$20*NETWORKDAYS.INTL(L29,M29,1,справочник!$V$2:$V$18),0))</f>
        <v>0,00</v>
      </c>
      <c r="O29" s="589">
        <f>IF(N29="0,00",0,'Трудозатраты членов ВТК'!F37)</f>
        <v>0</v>
      </c>
      <c r="P29" s="587"/>
      <c r="Q29" s="587"/>
      <c r="R29" s="663" t="str">
        <f>IF(OR(P29=0,Q29=0),"0,00",ROUNDDOWN(Расценка!$V$20*NETWORKDAYS.INTL(P29,Q29,1,справочник!$V$2:$V$18),0))</f>
        <v>0,00</v>
      </c>
      <c r="S29" s="663" t="str">
        <f>IF(OR(P29=0,Q29=0,N29="0,00"),"0,00",ROUNDDOWN(Расценка!$V$20*NETWORKDAYS.INTL(P29,Q29,1,справочник!$V$2:$V$18)*'Трудозатраты членов ВТК'!G37,0))</f>
        <v>0,00</v>
      </c>
      <c r="T29" s="663">
        <f>IF(L29="",'Трудозатраты членов ВТК'!F37,IF(OR(O29="0,00",S29="0,00"),0,'Трудозатраты членов ВТК'!F37-S29))</f>
        <v>0</v>
      </c>
      <c r="U29" s="652"/>
    </row>
    <row r="30" spans="1:24" ht="15.75" x14ac:dyDescent="0.25">
      <c r="A30" s="247">
        <v>22</v>
      </c>
      <c r="B30" s="555"/>
      <c r="C30" s="555"/>
      <c r="D30" s="553"/>
      <c r="E30" s="671"/>
      <c r="F30" s="553"/>
      <c r="G30" s="554"/>
      <c r="H30" s="247" t="str">
        <f>IFERROR(INDEX(Расценка!$1:$1048576,MATCH(D30,Расценка!$N:$N,0),MATCH($H$8,Расценка!$2:$2,0)),"-")</f>
        <v>-</v>
      </c>
      <c r="I30" s="247" t="str">
        <f>IFERROR(VLOOKUP($H30,Расценка!$S$10:$T$15,2,FALSE),"-")</f>
        <v>-</v>
      </c>
      <c r="J30" s="553"/>
      <c r="K30" s="683"/>
      <c r="L30" s="683"/>
      <c r="M30" s="683"/>
      <c r="N30" s="589" t="str">
        <f>IF(OR(L30=0,M30=0),"0,00",ROUNDDOWN(Расценка!$V$20*NETWORKDAYS.INTL(L30,M30,1,справочник!$V$2:$V$18),0))</f>
        <v>0,00</v>
      </c>
      <c r="O30" s="589">
        <f>IF(N30="0,00",0,'Трудозатраты членов ВТК'!F38)</f>
        <v>0</v>
      </c>
      <c r="P30" s="587"/>
      <c r="Q30" s="587"/>
      <c r="R30" s="663" t="str">
        <f>IF(OR(P30=0,Q30=0),"0,00",ROUNDDOWN(Расценка!$V$20*NETWORKDAYS.INTL(P30,Q30,1,справочник!$V$2:$V$18),0))</f>
        <v>0,00</v>
      </c>
      <c r="S30" s="663" t="str">
        <f>IF(OR(P30=0,Q30=0,N30="0,00"),"0,00",ROUNDDOWN(Расценка!$V$20*NETWORKDAYS.INTL(P30,Q30,1,справочник!$V$2:$V$18)*'Трудозатраты членов ВТК'!G38,0))</f>
        <v>0,00</v>
      </c>
      <c r="T30" s="663">
        <f>IF(L30="",'Трудозатраты членов ВТК'!F38,IF(OR(O30="0,00",S30="0,00"),0,'Трудозатраты членов ВТК'!F38-S30))</f>
        <v>0</v>
      </c>
      <c r="U30" s="652"/>
    </row>
    <row r="31" spans="1:24" ht="15.75" x14ac:dyDescent="0.25">
      <c r="A31" s="247">
        <v>23</v>
      </c>
      <c r="B31" s="555"/>
      <c r="C31" s="555"/>
      <c r="D31" s="553"/>
      <c r="E31" s="671"/>
      <c r="F31" s="553"/>
      <c r="G31" s="554"/>
      <c r="H31" s="247" t="str">
        <f>IFERROR(INDEX(Расценка!$1:$1048576,MATCH(D31,Расценка!$N:$N,0),MATCH($H$8,Расценка!$2:$2,0)),"-")</f>
        <v>-</v>
      </c>
      <c r="I31" s="247" t="str">
        <f>IFERROR(VLOOKUP($H31,Расценка!$S$10:$T$15,2,FALSE),"-")</f>
        <v>-</v>
      </c>
      <c r="J31" s="553"/>
      <c r="K31" s="683"/>
      <c r="L31" s="683"/>
      <c r="M31" s="683"/>
      <c r="N31" s="589" t="str">
        <f>IF(OR(L31=0,M31=0),"0,00",ROUNDDOWN(Расценка!$V$20*NETWORKDAYS.INTL(L31,M31,1,справочник!$V$2:$V$18),0))</f>
        <v>0,00</v>
      </c>
      <c r="O31" s="589">
        <f>IF(N31="0,00",0,'Трудозатраты членов ВТК'!F39)</f>
        <v>0</v>
      </c>
      <c r="P31" s="587"/>
      <c r="Q31" s="587"/>
      <c r="R31" s="663" t="str">
        <f>IF(OR(P31=0,Q31=0),"0,00",ROUNDDOWN(Расценка!$V$20*NETWORKDAYS.INTL(P31,Q31,1,справочник!$V$2:$V$18),0))</f>
        <v>0,00</v>
      </c>
      <c r="S31" s="663" t="str">
        <f>IF(OR(P31=0,Q31=0,N31="0,00"),"0,00",ROUNDDOWN(Расценка!$V$20*NETWORKDAYS.INTL(P31,Q31,1,справочник!$V$2:$V$18)*'Трудозатраты членов ВТК'!G39,0))</f>
        <v>0,00</v>
      </c>
      <c r="T31" s="663">
        <f>IF(L31="",'Трудозатраты членов ВТК'!F39,IF(OR(O31="0,00",S31="0,00"),0,'Трудозатраты членов ВТК'!F39-S31))</f>
        <v>0</v>
      </c>
      <c r="U31" s="652"/>
    </row>
    <row r="32" spans="1:24" ht="15.75" x14ac:dyDescent="0.25">
      <c r="A32" s="247">
        <v>24</v>
      </c>
      <c r="B32" s="555"/>
      <c r="C32" s="555"/>
      <c r="D32" s="553"/>
      <c r="E32" s="671"/>
      <c r="F32" s="553"/>
      <c r="G32" s="554"/>
      <c r="H32" s="247" t="str">
        <f>IFERROR(INDEX(Расценка!$1:$1048576,MATCH(D32,Расценка!$N:$N,0),MATCH($H$8,Расценка!$2:$2,0)),"-")</f>
        <v>-</v>
      </c>
      <c r="I32" s="247" t="str">
        <f>IFERROR(VLOOKUP($H32,Расценка!$S$10:$T$15,2,FALSE),"-")</f>
        <v>-</v>
      </c>
      <c r="J32" s="553"/>
      <c r="K32" s="683"/>
      <c r="L32" s="683"/>
      <c r="M32" s="683"/>
      <c r="N32" s="589" t="str">
        <f>IF(OR(L32=0,M32=0),"0,00",ROUNDDOWN(Расценка!$V$20*NETWORKDAYS.INTL(L32,M32,1,справочник!$V$2:$V$18),0))</f>
        <v>0,00</v>
      </c>
      <c r="O32" s="589">
        <f>IF(N32="0,00",0,'Трудозатраты членов ВТК'!F40)</f>
        <v>0</v>
      </c>
      <c r="P32" s="587"/>
      <c r="Q32" s="587"/>
      <c r="R32" s="663" t="str">
        <f>IF(OR(P32=0,Q32=0),"0,00",ROUNDDOWN(Расценка!$V$20*NETWORKDAYS.INTL(P32,Q32,1,справочник!$V$2:$V$18),0))</f>
        <v>0,00</v>
      </c>
      <c r="S32" s="663" t="str">
        <f>IF(OR(P32=0,Q32=0,N32="0,00"),"0,00",ROUNDDOWN(Расценка!$V$20*NETWORKDAYS.INTL(P32,Q32,1,справочник!$V$2:$V$18)*'Трудозатраты членов ВТК'!G40,0))</f>
        <v>0,00</v>
      </c>
      <c r="T32" s="663">
        <f>IF(L32="",'Трудозатраты членов ВТК'!F40,IF(OR(O32="0,00",S32="0,00"),0,'Трудозатраты членов ВТК'!F40-S32))</f>
        <v>0</v>
      </c>
      <c r="U32" s="652"/>
    </row>
    <row r="33" spans="1:21" ht="15.75" x14ac:dyDescent="0.25">
      <c r="A33" s="247">
        <v>25</v>
      </c>
      <c r="B33" s="555"/>
      <c r="C33" s="555"/>
      <c r="D33" s="553"/>
      <c r="E33" s="671"/>
      <c r="F33" s="553"/>
      <c r="G33" s="554"/>
      <c r="H33" s="247" t="str">
        <f>IFERROR(INDEX(Расценка!$1:$1048576,MATCH(D33,Расценка!$N:$N,0),MATCH($H$8,Расценка!$2:$2,0)),"-")</f>
        <v>-</v>
      </c>
      <c r="I33" s="247" t="str">
        <f>IFERROR(VLOOKUP($H33,Расценка!$S$10:$T$15,2,FALSE),"-")</f>
        <v>-</v>
      </c>
      <c r="J33" s="553"/>
      <c r="K33" s="683"/>
      <c r="L33" s="683"/>
      <c r="M33" s="683"/>
      <c r="N33" s="589" t="str">
        <f>IF(OR(L33=0,M33=0),"0,00",ROUNDDOWN(Расценка!$V$20*NETWORKDAYS.INTL(L33,M33,1,справочник!$V$2:$V$18),0))</f>
        <v>0,00</v>
      </c>
      <c r="O33" s="589">
        <f>IF(N33="0,00",0,'Трудозатраты членов ВТК'!F41)</f>
        <v>0</v>
      </c>
      <c r="P33" s="587"/>
      <c r="Q33" s="587"/>
      <c r="R33" s="663" t="str">
        <f>IF(OR(P33=0,Q33=0),"0,00",ROUNDDOWN(Расценка!$V$20*NETWORKDAYS.INTL(P33,Q33,1,справочник!$V$2:$V$18),0))</f>
        <v>0,00</v>
      </c>
      <c r="S33" s="663" t="str">
        <f>IF(OR(P33=0,Q33=0,N33="0,00"),"0,00",ROUNDDOWN(Расценка!$V$20*NETWORKDAYS.INTL(P33,Q33,1,справочник!$V$2:$V$18)*'Трудозатраты членов ВТК'!G41,0))</f>
        <v>0,00</v>
      </c>
      <c r="T33" s="663">
        <f>IF(L33="",'Трудозатраты членов ВТК'!F41,IF(OR(O33="0,00",S33="0,00"),0,'Трудозатраты членов ВТК'!F41-S33))</f>
        <v>0</v>
      </c>
      <c r="U33" s="652"/>
    </row>
    <row r="34" spans="1:21" ht="15.75" x14ac:dyDescent="0.25">
      <c r="A34" s="247">
        <v>26</v>
      </c>
      <c r="B34" s="555"/>
      <c r="C34" s="555"/>
      <c r="D34" s="553"/>
      <c r="E34" s="671"/>
      <c r="F34" s="553"/>
      <c r="G34" s="554"/>
      <c r="H34" s="247" t="str">
        <f>IFERROR(INDEX(Расценка!$1:$1048576,MATCH(D34,Расценка!$N:$N,0),MATCH($H$8,Расценка!$2:$2,0)),"-")</f>
        <v>-</v>
      </c>
      <c r="I34" s="247" t="str">
        <f>IFERROR(VLOOKUP($H34,Расценка!$S$10:$T$15,2,FALSE),"-")</f>
        <v>-</v>
      </c>
      <c r="J34" s="553"/>
      <c r="K34" s="683"/>
      <c r="L34" s="683"/>
      <c r="M34" s="683"/>
      <c r="N34" s="589" t="str">
        <f>IF(OR(L34=0,M34=0),"0,00",ROUNDDOWN(Расценка!$V$20*NETWORKDAYS.INTL(L34,M34,1,справочник!$V$2:$V$18),0))</f>
        <v>0,00</v>
      </c>
      <c r="O34" s="589">
        <f>IF(N34="0,00",0,'Трудозатраты членов ВТК'!F42)</f>
        <v>0</v>
      </c>
      <c r="P34" s="587"/>
      <c r="Q34" s="587"/>
      <c r="R34" s="663" t="str">
        <f>IF(OR(P34=0,Q34=0),"0,00",ROUNDDOWN(Расценка!$V$20*NETWORKDAYS.INTL(P34,Q34,1,справочник!$V$2:$V$18),0))</f>
        <v>0,00</v>
      </c>
      <c r="S34" s="663" t="str">
        <f>IF(OR(P34=0,Q34=0,N34="0,00"),"0,00",ROUNDDOWN(Расценка!$V$20*NETWORKDAYS.INTL(P34,Q34,1,справочник!$V$2:$V$18)*'Трудозатраты членов ВТК'!G42,0))</f>
        <v>0,00</v>
      </c>
      <c r="T34" s="663">
        <f>IF(L34="",'Трудозатраты членов ВТК'!F42,IF(OR(O34="0,00",S34="0,00"),0,'Трудозатраты членов ВТК'!F42-S34))</f>
        <v>0</v>
      </c>
      <c r="U34" s="652"/>
    </row>
    <row r="35" spans="1:21" ht="15.75" x14ac:dyDescent="0.25">
      <c r="A35" s="247">
        <v>27</v>
      </c>
      <c r="B35" s="555"/>
      <c r="C35" s="555"/>
      <c r="D35" s="553"/>
      <c r="E35" s="671"/>
      <c r="F35" s="553"/>
      <c r="G35" s="554"/>
      <c r="H35" s="247" t="str">
        <f>IFERROR(INDEX(Расценка!$1:$1048576,MATCH(D35,Расценка!$N:$N,0),MATCH($H$8,Расценка!$2:$2,0)),"-")</f>
        <v>-</v>
      </c>
      <c r="I35" s="247" t="str">
        <f>IFERROR(VLOOKUP($H35,Расценка!$S$10:$T$15,2,FALSE),"-")</f>
        <v>-</v>
      </c>
      <c r="J35" s="553"/>
      <c r="K35" s="683"/>
      <c r="L35" s="683"/>
      <c r="M35" s="683"/>
      <c r="N35" s="589" t="str">
        <f>IF(OR(L35=0,M35=0),"0,00",ROUNDDOWN(Расценка!$V$20*NETWORKDAYS.INTL(L35,M35,1,справочник!$V$2:$V$18),0))</f>
        <v>0,00</v>
      </c>
      <c r="O35" s="589">
        <f>IF(N35="0,00",0,'Трудозатраты членов ВТК'!F43)</f>
        <v>0</v>
      </c>
      <c r="P35" s="587"/>
      <c r="Q35" s="587"/>
      <c r="R35" s="663" t="str">
        <f>IF(OR(P35=0,Q35=0),"0,00",ROUNDDOWN(Расценка!$V$20*NETWORKDAYS.INTL(P35,Q35,1,справочник!$V$2:$V$18),0))</f>
        <v>0,00</v>
      </c>
      <c r="S35" s="663" t="str">
        <f>IF(OR(P35=0,Q35=0,N35="0,00"),"0,00",ROUNDDOWN(Расценка!$V$20*NETWORKDAYS.INTL(P35,Q35,1,справочник!$V$2:$V$18)*'Трудозатраты членов ВТК'!G43,0))</f>
        <v>0,00</v>
      </c>
      <c r="T35" s="663">
        <f>IF(L35="",'Трудозатраты членов ВТК'!F43,IF(OR(O35="0,00",S35="0,00"),0,'Трудозатраты членов ВТК'!F43-S35))</f>
        <v>0</v>
      </c>
      <c r="U35" s="652"/>
    </row>
    <row r="36" spans="1:21" ht="15.75" x14ac:dyDescent="0.25">
      <c r="A36" s="247">
        <v>28</v>
      </c>
      <c r="B36" s="555"/>
      <c r="C36" s="555"/>
      <c r="D36" s="553"/>
      <c r="E36" s="671"/>
      <c r="F36" s="553"/>
      <c r="G36" s="554"/>
      <c r="H36" s="247" t="str">
        <f>IFERROR(INDEX(Расценка!$1:$1048576,MATCH(D36,Расценка!$N:$N,0),MATCH($H$8,Расценка!$2:$2,0)),"-")</f>
        <v>-</v>
      </c>
      <c r="I36" s="247" t="str">
        <f>IFERROR(VLOOKUP($H36,Расценка!$S$10:$T$15,2,FALSE),"-")</f>
        <v>-</v>
      </c>
      <c r="J36" s="553"/>
      <c r="K36" s="683"/>
      <c r="L36" s="683"/>
      <c r="M36" s="683"/>
      <c r="N36" s="589" t="str">
        <f>IF(OR(L36=0,M36=0),"0,00",ROUNDDOWN(Расценка!$V$20*NETWORKDAYS.INTL(L36,M36,1,справочник!$V$2:$V$18),0))</f>
        <v>0,00</v>
      </c>
      <c r="O36" s="589">
        <f>IF(N36="0,00",0,'Трудозатраты членов ВТК'!F44)</f>
        <v>0</v>
      </c>
      <c r="P36" s="587"/>
      <c r="Q36" s="587"/>
      <c r="R36" s="663" t="str">
        <f>IF(OR(P36=0,Q36=0),"0,00",ROUNDDOWN(Расценка!$V$20*NETWORKDAYS.INTL(P36,Q36,1,справочник!$V$2:$V$18),0))</f>
        <v>0,00</v>
      </c>
      <c r="S36" s="663" t="str">
        <f>IF(OR(P36=0,Q36=0,N36="0,00"),"0,00",ROUNDDOWN(Расценка!$V$20*NETWORKDAYS.INTL(P36,Q36,1,справочник!$V$2:$V$18)*'Трудозатраты членов ВТК'!G44,0))</f>
        <v>0,00</v>
      </c>
      <c r="T36" s="663">
        <f>IF(L36="",'Трудозатраты членов ВТК'!F44,IF(OR(O36="0,00",S36="0,00"),0,'Трудозатраты членов ВТК'!F44-S36))</f>
        <v>0</v>
      </c>
      <c r="U36" s="652"/>
    </row>
    <row r="37" spans="1:21" ht="15.75" x14ac:dyDescent="0.25">
      <c r="A37" s="247">
        <v>29</v>
      </c>
      <c r="B37" s="555"/>
      <c r="C37" s="555"/>
      <c r="D37" s="553"/>
      <c r="E37" s="671"/>
      <c r="F37" s="553"/>
      <c r="G37" s="554"/>
      <c r="H37" s="247" t="str">
        <f>IFERROR(INDEX(Расценка!$1:$1048576,MATCH(D37,Расценка!$N:$N,0),MATCH($H$8,Расценка!$2:$2,0)),"-")</f>
        <v>-</v>
      </c>
      <c r="I37" s="247" t="str">
        <f>IFERROR(VLOOKUP($H37,Расценка!$S$10:$T$15,2,FALSE),"-")</f>
        <v>-</v>
      </c>
      <c r="J37" s="553"/>
      <c r="K37" s="683"/>
      <c r="L37" s="683"/>
      <c r="M37" s="683"/>
      <c r="N37" s="589" t="str">
        <f>IF(OR(L37=0,M37=0),"0,00",ROUNDDOWN(Расценка!$V$20*NETWORKDAYS.INTL(L37,M37,1,справочник!$V$2:$V$18),0))</f>
        <v>0,00</v>
      </c>
      <c r="O37" s="589">
        <f>IF(N37="0,00",0,'Трудозатраты членов ВТК'!F45)</f>
        <v>0</v>
      </c>
      <c r="P37" s="587"/>
      <c r="Q37" s="587"/>
      <c r="R37" s="663" t="str">
        <f>IF(OR(P37=0,Q37=0),"0,00",ROUNDDOWN(Расценка!$V$20*NETWORKDAYS.INTL(P37,Q37,1,справочник!$V$2:$V$18),0))</f>
        <v>0,00</v>
      </c>
      <c r="S37" s="663" t="str">
        <f>IF(OR(P37=0,Q37=0,N37="0,00"),"0,00",ROUNDDOWN(Расценка!$V$20*NETWORKDAYS.INTL(P37,Q37,1,справочник!$V$2:$V$18)*'Трудозатраты членов ВТК'!G45,0))</f>
        <v>0,00</v>
      </c>
      <c r="T37" s="663">
        <f>IF(L37="",'Трудозатраты членов ВТК'!F45,IF(OR(O37="0,00",S37="0,00"),0,'Трудозатраты членов ВТК'!F45-S37))</f>
        <v>0</v>
      </c>
      <c r="U37" s="652"/>
    </row>
    <row r="38" spans="1:21" ht="15.75" x14ac:dyDescent="0.25">
      <c r="A38" s="247">
        <v>30</v>
      </c>
      <c r="B38" s="555"/>
      <c r="C38" s="555"/>
      <c r="D38" s="553"/>
      <c r="E38" s="671"/>
      <c r="F38" s="553"/>
      <c r="G38" s="554"/>
      <c r="H38" s="247" t="str">
        <f>IFERROR(INDEX(Расценка!$1:$1048576,MATCH(D38,Расценка!$N:$N,0),MATCH($H$8,Расценка!$2:$2,0)),"-")</f>
        <v>-</v>
      </c>
      <c r="I38" s="247" t="str">
        <f>IFERROR(VLOOKUP($H38,Расценка!$S$10:$T$15,2,FALSE),"-")</f>
        <v>-</v>
      </c>
      <c r="J38" s="553"/>
      <c r="K38" s="683"/>
      <c r="L38" s="683"/>
      <c r="M38" s="683"/>
      <c r="N38" s="589" t="str">
        <f>IF(OR(L38=0,M38=0),"0,00",ROUNDDOWN(Расценка!$V$20*NETWORKDAYS.INTL(L38,M38,1,справочник!$V$2:$V$18),0))</f>
        <v>0,00</v>
      </c>
      <c r="O38" s="589">
        <f>IF(N38="0,00",0,'Трудозатраты членов ВТК'!F46)</f>
        <v>0</v>
      </c>
      <c r="P38" s="587"/>
      <c r="Q38" s="587"/>
      <c r="R38" s="663" t="str">
        <f>IF(OR(P38=0,Q38=0),"0,00",ROUNDDOWN(Расценка!$V$20*NETWORKDAYS.INTL(P38,Q38,1,справочник!$V$2:$V$18),0))</f>
        <v>0,00</v>
      </c>
      <c r="S38" s="663" t="str">
        <f>IF(OR(P38=0,Q38=0,N38="0,00"),"0,00",ROUNDDOWN(Расценка!$V$20*NETWORKDAYS.INTL(P38,Q38,1,справочник!$V$2:$V$18)*'Трудозатраты членов ВТК'!G46,0))</f>
        <v>0,00</v>
      </c>
      <c r="T38" s="663">
        <f>IF(L38="",'Трудозатраты членов ВТК'!F46,IF(OR(O38="0,00",S38="0,00"),0,'Трудозатраты членов ВТК'!F46-S38))</f>
        <v>0</v>
      </c>
      <c r="U38" s="652"/>
    </row>
    <row r="39" spans="1:21" ht="15.75" x14ac:dyDescent="0.25">
      <c r="A39" s="247">
        <v>31</v>
      </c>
      <c r="B39" s="555"/>
      <c r="C39" s="555"/>
      <c r="D39" s="553"/>
      <c r="E39" s="671"/>
      <c r="F39" s="553"/>
      <c r="G39" s="554"/>
      <c r="H39" s="247" t="str">
        <f>IFERROR(INDEX(Расценка!$1:$1048576,MATCH(D39,Расценка!$N:$N,0),MATCH($H$8,Расценка!$2:$2,0)),"-")</f>
        <v>-</v>
      </c>
      <c r="I39" s="247" t="str">
        <f>IFERROR(VLOOKUP($H39,Расценка!$S$10:$T$15,2,FALSE),"-")</f>
        <v>-</v>
      </c>
      <c r="J39" s="553"/>
      <c r="K39" s="683"/>
      <c r="L39" s="683"/>
      <c r="M39" s="683"/>
      <c r="N39" s="589" t="str">
        <f>IF(OR(L39=0,M39=0),"0,00",ROUNDDOWN(Расценка!$V$20*NETWORKDAYS.INTL(L39,M39,1,справочник!$V$2:$V$18),0))</f>
        <v>0,00</v>
      </c>
      <c r="O39" s="589">
        <f>IF(N39="0,00",0,'Трудозатраты членов ВТК'!F47)</f>
        <v>0</v>
      </c>
      <c r="P39" s="587"/>
      <c r="Q39" s="587"/>
      <c r="R39" s="663" t="str">
        <f>IF(OR(P39=0,Q39=0),"0,00",ROUNDDOWN(Расценка!$V$20*NETWORKDAYS.INTL(P39,Q39,1,справочник!$V$2:$V$18),0))</f>
        <v>0,00</v>
      </c>
      <c r="S39" s="663" t="str">
        <f>IF(OR(P39=0,Q39=0,N39="0,00"),"0,00",ROUNDDOWN(Расценка!$V$20*NETWORKDAYS.INTL(P39,Q39,1,справочник!$V$2:$V$18)*'Трудозатраты членов ВТК'!G47,0))</f>
        <v>0,00</v>
      </c>
      <c r="T39" s="663">
        <f>IF(L39="",'Трудозатраты членов ВТК'!F47,IF(OR(O39="0,00",S39="0,00"),0,'Трудозатраты членов ВТК'!F47-S39))</f>
        <v>0</v>
      </c>
      <c r="U39" s="652"/>
    </row>
    <row r="40" spans="1:21" ht="15.75" x14ac:dyDescent="0.25">
      <c r="A40" s="247">
        <v>32</v>
      </c>
      <c r="B40" s="555"/>
      <c r="C40" s="555"/>
      <c r="D40" s="553"/>
      <c r="E40" s="671"/>
      <c r="F40" s="553"/>
      <c r="G40" s="554"/>
      <c r="H40" s="247" t="str">
        <f>IFERROR(INDEX(Расценка!$1:$1048576,MATCH(D40,Расценка!$N:$N,0),MATCH($H$8,Расценка!$2:$2,0)),"-")</f>
        <v>-</v>
      </c>
      <c r="I40" s="247" t="str">
        <f>IFERROR(VLOOKUP($H40,Расценка!$S$10:$T$15,2,FALSE),"-")</f>
        <v>-</v>
      </c>
      <c r="J40" s="553"/>
      <c r="K40" s="683"/>
      <c r="L40" s="683"/>
      <c r="M40" s="683"/>
      <c r="N40" s="589" t="str">
        <f>IF(OR(L40=0,M40=0),"0,00",ROUNDDOWN(Расценка!$V$20*NETWORKDAYS.INTL(L40,M40,1,справочник!$V$2:$V$18),0))</f>
        <v>0,00</v>
      </c>
      <c r="O40" s="589">
        <f>IF(N40="0,00",0,'Трудозатраты членов ВТК'!F48)</f>
        <v>0</v>
      </c>
      <c r="P40" s="587"/>
      <c r="Q40" s="587"/>
      <c r="R40" s="663" t="str">
        <f>IF(OR(P40=0,Q40=0),"0,00",ROUNDDOWN(Расценка!$V$20*NETWORKDAYS.INTL(P40,Q40,1,справочник!$V$2:$V$18),0))</f>
        <v>0,00</v>
      </c>
      <c r="S40" s="663" t="str">
        <f>IF(OR(P40=0,Q40=0,N40="0,00"),"0,00",ROUNDDOWN(Расценка!$V$20*NETWORKDAYS.INTL(P40,Q40,1,справочник!$V$2:$V$18)*'Трудозатраты членов ВТК'!G48,0))</f>
        <v>0,00</v>
      </c>
      <c r="T40" s="663">
        <f>IF(L40="",'Трудозатраты членов ВТК'!F48,IF(OR(O40="0,00",S40="0,00"),0,'Трудозатраты членов ВТК'!F48-S40))</f>
        <v>0</v>
      </c>
      <c r="U40" s="652"/>
    </row>
    <row r="41" spans="1:21" ht="15.75" x14ac:dyDescent="0.25">
      <c r="A41" s="247">
        <v>33</v>
      </c>
      <c r="B41" s="555"/>
      <c r="C41" s="555"/>
      <c r="D41" s="553"/>
      <c r="E41" s="671"/>
      <c r="F41" s="553"/>
      <c r="G41" s="554"/>
      <c r="H41" s="247" t="str">
        <f>IFERROR(INDEX(Расценка!$1:$1048576,MATCH(D41,Расценка!$N:$N,0),MATCH($H$8,Расценка!$2:$2,0)),"-")</f>
        <v>-</v>
      </c>
      <c r="I41" s="247" t="str">
        <f>IFERROR(VLOOKUP($H41,Расценка!$S$10:$T$15,2,FALSE),"-")</f>
        <v>-</v>
      </c>
      <c r="J41" s="553"/>
      <c r="K41" s="683"/>
      <c r="L41" s="683"/>
      <c r="M41" s="683"/>
      <c r="N41" s="589" t="str">
        <f>IF(OR(L41=0,M41=0),"0,00",ROUNDDOWN(Расценка!$V$20*NETWORKDAYS.INTL(L41,M41,1,справочник!$V$2:$V$18),0))</f>
        <v>0,00</v>
      </c>
      <c r="O41" s="589">
        <f>IF(N41="0,00",0,'Трудозатраты членов ВТК'!F49)</f>
        <v>0</v>
      </c>
      <c r="P41" s="587"/>
      <c r="Q41" s="587"/>
      <c r="R41" s="663" t="str">
        <f>IF(OR(P41=0,Q41=0),"0,00",ROUNDDOWN(Расценка!$V$20*NETWORKDAYS.INTL(P41,Q41,1,справочник!$V$2:$V$18),0))</f>
        <v>0,00</v>
      </c>
      <c r="S41" s="663" t="str">
        <f>IF(OR(P41=0,Q41=0,N41="0,00"),"0,00",ROUNDDOWN(Расценка!$V$20*NETWORKDAYS.INTL(P41,Q41,1,справочник!$V$2:$V$18)*'Трудозатраты членов ВТК'!G49,0))</f>
        <v>0,00</v>
      </c>
      <c r="T41" s="663">
        <f>IF(L41="",'Трудозатраты членов ВТК'!F49,IF(OR(O41="0,00",S41="0,00"),0,'Трудозатраты членов ВТК'!F49-S41))</f>
        <v>0</v>
      </c>
      <c r="U41" s="652"/>
    </row>
    <row r="42" spans="1:21" ht="15.75" x14ac:dyDescent="0.25">
      <c r="A42" s="247">
        <v>34</v>
      </c>
      <c r="B42" s="555"/>
      <c r="C42" s="555"/>
      <c r="D42" s="553"/>
      <c r="E42" s="671"/>
      <c r="F42" s="553"/>
      <c r="G42" s="554"/>
      <c r="H42" s="247" t="str">
        <f>IFERROR(INDEX(Расценка!$1:$1048576,MATCH(D42,Расценка!$N:$N,0),MATCH($H$8,Расценка!$2:$2,0)),"-")</f>
        <v>-</v>
      </c>
      <c r="I42" s="247" t="str">
        <f>IFERROR(VLOOKUP($H42,Расценка!$S$10:$T$15,2,FALSE),"-")</f>
        <v>-</v>
      </c>
      <c r="J42" s="553"/>
      <c r="K42" s="683"/>
      <c r="L42" s="683"/>
      <c r="M42" s="683"/>
      <c r="N42" s="589" t="str">
        <f>IF(OR(L42=0,M42=0),"0,00",ROUNDDOWN(Расценка!$V$20*NETWORKDAYS.INTL(L42,M42,1,справочник!$V$2:$V$18),0))</f>
        <v>0,00</v>
      </c>
      <c r="O42" s="589">
        <f>IF(N42="0,00",0,'Трудозатраты членов ВТК'!F50)</f>
        <v>0</v>
      </c>
      <c r="P42" s="587"/>
      <c r="Q42" s="587"/>
      <c r="R42" s="663" t="str">
        <f>IF(OR(P42=0,Q42=0),"0,00",ROUNDDOWN(Расценка!$V$20*NETWORKDAYS.INTL(P42,Q42,1,справочник!$V$2:$V$18),0))</f>
        <v>0,00</v>
      </c>
      <c r="S42" s="663" t="str">
        <f>IF(OR(P42=0,Q42=0,N42="0,00"),"0,00",ROUNDDOWN(Расценка!$V$20*NETWORKDAYS.INTL(P42,Q42,1,справочник!$V$2:$V$18)*'Трудозатраты членов ВТК'!G50,0))</f>
        <v>0,00</v>
      </c>
      <c r="T42" s="663">
        <f>IF(L42="",'Трудозатраты членов ВТК'!F50,IF(OR(O42="0,00",S42="0,00"),0,'Трудозатраты членов ВТК'!F50-S42))</f>
        <v>0</v>
      </c>
      <c r="U42" s="652"/>
    </row>
    <row r="43" spans="1:21" ht="15.75" x14ac:dyDescent="0.25">
      <c r="A43" s="247">
        <v>35</v>
      </c>
      <c r="B43" s="555"/>
      <c r="C43" s="555"/>
      <c r="D43" s="553"/>
      <c r="E43" s="671"/>
      <c r="F43" s="553"/>
      <c r="G43" s="554"/>
      <c r="H43" s="247" t="str">
        <f>IFERROR(INDEX(Расценка!$1:$1048576,MATCH(D43,Расценка!$N:$N,0),MATCH($H$8,Расценка!$2:$2,0)),"-")</f>
        <v>-</v>
      </c>
      <c r="I43" s="247" t="str">
        <f>IFERROR(VLOOKUP($H43,Расценка!$S$10:$T$15,2,FALSE),"-")</f>
        <v>-</v>
      </c>
      <c r="J43" s="553"/>
      <c r="K43" s="683"/>
      <c r="L43" s="683"/>
      <c r="M43" s="683"/>
      <c r="N43" s="589" t="str">
        <f>IF(OR(L43=0,M43=0),"0,00",ROUNDDOWN(Расценка!$V$20*NETWORKDAYS.INTL(L43,M43,1,справочник!$V$2:$V$18),0))</f>
        <v>0,00</v>
      </c>
      <c r="O43" s="589">
        <f>IF(N43="0,00",0,'Трудозатраты членов ВТК'!F51)</f>
        <v>0</v>
      </c>
      <c r="P43" s="587"/>
      <c r="Q43" s="587"/>
      <c r="R43" s="663" t="str">
        <f>IF(OR(P43=0,Q43=0),"0,00",ROUNDDOWN(Расценка!$V$20*NETWORKDAYS.INTL(P43,Q43,1,справочник!$V$2:$V$18),0))</f>
        <v>0,00</v>
      </c>
      <c r="S43" s="663" t="str">
        <f>IF(OR(P43=0,Q43=0,N43="0,00"),"0,00",ROUNDDOWN(Расценка!$V$20*NETWORKDAYS.INTL(P43,Q43,1,справочник!$V$2:$V$18)*'Трудозатраты членов ВТК'!G51,0))</f>
        <v>0,00</v>
      </c>
      <c r="T43" s="663">
        <f>IF(L43="",'Трудозатраты членов ВТК'!F51,IF(OR(O43="0,00",S43="0,00"),0,'Трудозатраты членов ВТК'!F51-S43))</f>
        <v>0</v>
      </c>
      <c r="U43" s="652"/>
    </row>
    <row r="44" spans="1:21" ht="15.75" x14ac:dyDescent="0.25">
      <c r="A44" s="247">
        <v>36</v>
      </c>
      <c r="B44" s="555"/>
      <c r="C44" s="555"/>
      <c r="D44" s="553"/>
      <c r="E44" s="671"/>
      <c r="F44" s="553"/>
      <c r="G44" s="554"/>
      <c r="H44" s="247" t="str">
        <f>IFERROR(INDEX(Расценка!$1:$1048576,MATCH(D44,Расценка!$N:$N,0),MATCH($H$8,Расценка!$2:$2,0)),"-")</f>
        <v>-</v>
      </c>
      <c r="I44" s="247" t="str">
        <f>IFERROR(VLOOKUP($H44,Расценка!$S$10:$T$15,2,FALSE),"-")</f>
        <v>-</v>
      </c>
      <c r="J44" s="553"/>
      <c r="K44" s="683"/>
      <c r="L44" s="683"/>
      <c r="M44" s="683"/>
      <c r="N44" s="589" t="str">
        <f>IF(OR(L44=0,M44=0),"0,00",ROUNDDOWN(Расценка!$V$20*NETWORKDAYS.INTL(L44,M44,1,справочник!$V$2:$V$18),0))</f>
        <v>0,00</v>
      </c>
      <c r="O44" s="589">
        <f>IF(N44="0,00",0,'Трудозатраты членов ВТК'!F52)</f>
        <v>0</v>
      </c>
      <c r="P44" s="587"/>
      <c r="Q44" s="587"/>
      <c r="R44" s="663" t="str">
        <f>IF(OR(P44=0,Q44=0),"0,00",ROUNDDOWN(Расценка!$V$20*NETWORKDAYS.INTL(P44,Q44,1,справочник!$V$2:$V$18),0))</f>
        <v>0,00</v>
      </c>
      <c r="S44" s="663" t="str">
        <f>IF(OR(P44=0,Q44=0,N44="0,00"),"0,00",ROUNDDOWN(Расценка!$V$20*NETWORKDAYS.INTL(P44,Q44,1,справочник!$V$2:$V$18)*'Трудозатраты членов ВТК'!G52,0))</f>
        <v>0,00</v>
      </c>
      <c r="T44" s="663">
        <f>IF(L44="",'Трудозатраты членов ВТК'!F52,IF(OR(O44="0,00",S44="0,00"),0,'Трудозатраты членов ВТК'!F52-S44))</f>
        <v>0</v>
      </c>
      <c r="U44" s="652"/>
    </row>
    <row r="45" spans="1:21" ht="15.75" x14ac:dyDescent="0.25">
      <c r="A45" s="247">
        <v>37</v>
      </c>
      <c r="B45" s="555"/>
      <c r="C45" s="555"/>
      <c r="D45" s="553"/>
      <c r="E45" s="671"/>
      <c r="F45" s="553"/>
      <c r="G45" s="554"/>
      <c r="H45" s="247" t="str">
        <f>IFERROR(INDEX(Расценка!$1:$1048576,MATCH(D45,Расценка!$N:$N,0),MATCH($H$8,Расценка!$2:$2,0)),"-")</f>
        <v>-</v>
      </c>
      <c r="I45" s="247" t="str">
        <f>IFERROR(VLOOKUP($H45,Расценка!$S$10:$T$15,2,FALSE),"-")</f>
        <v>-</v>
      </c>
      <c r="J45" s="553"/>
      <c r="K45" s="683"/>
      <c r="L45" s="683"/>
      <c r="M45" s="683"/>
      <c r="N45" s="589" t="str">
        <f>IF(OR(L45=0,M45=0),"0,00",ROUNDDOWN(Расценка!$V$20*NETWORKDAYS.INTL(L45,M45,1,справочник!$V$2:$V$18),0))</f>
        <v>0,00</v>
      </c>
      <c r="O45" s="589">
        <f>IF(N45="0,00",0,'Трудозатраты членов ВТК'!F53)</f>
        <v>0</v>
      </c>
      <c r="P45" s="587"/>
      <c r="Q45" s="587"/>
      <c r="R45" s="663" t="str">
        <f>IF(OR(P45=0,Q45=0),"0,00",ROUNDDOWN(Расценка!$V$20*NETWORKDAYS.INTL(P45,Q45,1,справочник!$V$2:$V$18),0))</f>
        <v>0,00</v>
      </c>
      <c r="S45" s="663" t="str">
        <f>IF(OR(P45=0,Q45=0,N45="0,00"),"0,00",ROUNDDOWN(Расценка!$V$20*NETWORKDAYS.INTL(P45,Q45,1,справочник!$V$2:$V$18)*'Трудозатраты членов ВТК'!G53,0))</f>
        <v>0,00</v>
      </c>
      <c r="T45" s="663">
        <f>IF(L45="",'Трудозатраты членов ВТК'!F53,IF(OR(O45="0,00",S45="0,00"),0,'Трудозатраты членов ВТК'!F53-S45))</f>
        <v>0</v>
      </c>
      <c r="U45" s="652"/>
    </row>
    <row r="46" spans="1:21" ht="15.75" x14ac:dyDescent="0.25">
      <c r="A46" s="247">
        <v>38</v>
      </c>
      <c r="B46" s="555"/>
      <c r="C46" s="555"/>
      <c r="D46" s="553"/>
      <c r="E46" s="671"/>
      <c r="F46" s="553"/>
      <c r="G46" s="554"/>
      <c r="H46" s="247" t="str">
        <f>IFERROR(INDEX(Расценка!$1:$1048576,MATCH(D46,Расценка!$N:$N,0),MATCH($H$8,Расценка!$2:$2,0)),"-")</f>
        <v>-</v>
      </c>
      <c r="I46" s="247" t="str">
        <f>IFERROR(VLOOKUP($H46,Расценка!$S$10:$T$15,2,FALSE),"-")</f>
        <v>-</v>
      </c>
      <c r="J46" s="553"/>
      <c r="K46" s="683"/>
      <c r="L46" s="683"/>
      <c r="M46" s="683"/>
      <c r="N46" s="589" t="str">
        <f>IF(OR(L46=0,M46=0),"0,00",ROUNDDOWN(Расценка!$V$20*NETWORKDAYS.INTL(L46,M46,1,справочник!$V$2:$V$18),0))</f>
        <v>0,00</v>
      </c>
      <c r="O46" s="589">
        <f>IF(N46="0,00",0,'Трудозатраты членов ВТК'!F54)</f>
        <v>0</v>
      </c>
      <c r="P46" s="587"/>
      <c r="Q46" s="587"/>
      <c r="R46" s="663" t="str">
        <f>IF(OR(P46=0,Q46=0),"0,00",ROUNDDOWN(Расценка!$V$20*NETWORKDAYS.INTL(P46,Q46,1,справочник!$V$2:$V$18),0))</f>
        <v>0,00</v>
      </c>
      <c r="S46" s="663" t="str">
        <f>IF(OR(P46=0,Q46=0,N46="0,00"),"0,00",ROUNDDOWN(Расценка!$V$20*NETWORKDAYS.INTL(P46,Q46,1,справочник!$V$2:$V$18)*'Трудозатраты членов ВТК'!G54,0))</f>
        <v>0,00</v>
      </c>
      <c r="T46" s="663">
        <f>IF(L46="",'Трудозатраты членов ВТК'!F54,IF(OR(O46="0,00",S46="0,00"),0,'Трудозатраты членов ВТК'!F54-S46))</f>
        <v>0</v>
      </c>
      <c r="U46" s="652"/>
    </row>
    <row r="47" spans="1:21" ht="15.75" x14ac:dyDescent="0.25">
      <c r="A47" s="247">
        <v>39</v>
      </c>
      <c r="B47" s="555"/>
      <c r="C47" s="555"/>
      <c r="D47" s="553"/>
      <c r="E47" s="671"/>
      <c r="F47" s="553"/>
      <c r="G47" s="554"/>
      <c r="H47" s="247" t="str">
        <f>IFERROR(INDEX(Расценка!$1:$1048576,MATCH(D47,Расценка!$N:$N,0),MATCH($H$8,Расценка!$2:$2,0)),"-")</f>
        <v>-</v>
      </c>
      <c r="I47" s="247" t="str">
        <f>IFERROR(VLOOKUP($H47,Расценка!$S$10:$T$15,2,FALSE),"-")</f>
        <v>-</v>
      </c>
      <c r="J47" s="553"/>
      <c r="K47" s="683"/>
      <c r="L47" s="683"/>
      <c r="M47" s="683"/>
      <c r="N47" s="589" t="str">
        <f>IF(OR(L47=0,M47=0),"0,00",ROUNDDOWN(Расценка!$V$20*NETWORKDAYS.INTL(L47,M47,1,справочник!$V$2:$V$18),0))</f>
        <v>0,00</v>
      </c>
      <c r="O47" s="589">
        <f>IF(N47="0,00",0,'Трудозатраты членов ВТК'!F55)</f>
        <v>0</v>
      </c>
      <c r="P47" s="587"/>
      <c r="Q47" s="587"/>
      <c r="R47" s="663" t="str">
        <f>IF(OR(P47=0,Q47=0),"0,00",ROUNDDOWN(Расценка!$V$20*NETWORKDAYS.INTL(P47,Q47,1,справочник!$V$2:$V$18),0))</f>
        <v>0,00</v>
      </c>
      <c r="S47" s="663" t="str">
        <f>IF(OR(P47=0,Q47=0,N47="0,00"),"0,00",ROUNDDOWN(Расценка!$V$20*NETWORKDAYS.INTL(P47,Q47,1,справочник!$V$2:$V$18)*'Трудозатраты членов ВТК'!G55,0))</f>
        <v>0,00</v>
      </c>
      <c r="T47" s="663">
        <f>IF(L47="",'Трудозатраты членов ВТК'!F55,IF(OR(O47="0,00",S47="0,00"),0,'Трудозатраты членов ВТК'!F55-S47))</f>
        <v>0</v>
      </c>
      <c r="U47" s="652"/>
    </row>
    <row r="48" spans="1:21" ht="15.75" x14ac:dyDescent="0.25">
      <c r="A48" s="247">
        <v>40</v>
      </c>
      <c r="B48" s="555"/>
      <c r="C48" s="555"/>
      <c r="D48" s="553"/>
      <c r="E48" s="671"/>
      <c r="F48" s="553"/>
      <c r="G48" s="554"/>
      <c r="H48" s="247" t="str">
        <f>IFERROR(INDEX(Расценка!$1:$1048576,MATCH(D48,Расценка!$N:$N,0),MATCH($H$8,Расценка!$2:$2,0)),"-")</f>
        <v>-</v>
      </c>
      <c r="I48" s="247" t="str">
        <f>IFERROR(VLOOKUP($H48,Расценка!$S$10:$T$15,2,FALSE),"-")</f>
        <v>-</v>
      </c>
      <c r="J48" s="553"/>
      <c r="K48" s="683"/>
      <c r="L48" s="683"/>
      <c r="M48" s="683"/>
      <c r="N48" s="589" t="str">
        <f>IF(OR(L48=0,M48=0),"0,00",ROUNDDOWN(Расценка!$V$20*NETWORKDAYS.INTL(L48,M48,1,справочник!$V$2:$V$18),0))</f>
        <v>0,00</v>
      </c>
      <c r="O48" s="589">
        <f>IF(N48="0,00",0,'Трудозатраты членов ВТК'!F56)</f>
        <v>0</v>
      </c>
      <c r="P48" s="587"/>
      <c r="Q48" s="587"/>
      <c r="R48" s="663" t="str">
        <f>IF(OR(P48=0,Q48=0),"0,00",ROUNDDOWN(Расценка!$V$20*NETWORKDAYS.INTL(P48,Q48,1,справочник!$V$2:$V$18),0))</f>
        <v>0,00</v>
      </c>
      <c r="S48" s="663" t="str">
        <f>IF(OR(P48=0,Q48=0,N48="0,00"),"0,00",ROUNDDOWN(Расценка!$V$20*NETWORKDAYS.INTL(P48,Q48,1,справочник!$V$2:$V$18)*'Трудозатраты членов ВТК'!G56,0))</f>
        <v>0,00</v>
      </c>
      <c r="T48" s="663">
        <f>IF(L48="",'Трудозатраты членов ВТК'!F56,IF(OR(O48="0,00",S48="0,00"),0,'Трудозатраты членов ВТК'!F56-S48))</f>
        <v>0</v>
      </c>
      <c r="U48" s="652"/>
    </row>
    <row r="49" spans="1:21" ht="15.75" x14ac:dyDescent="0.25">
      <c r="A49" s="247">
        <v>41</v>
      </c>
      <c r="B49" s="555"/>
      <c r="C49" s="555"/>
      <c r="D49" s="553"/>
      <c r="E49" s="671"/>
      <c r="F49" s="553"/>
      <c r="G49" s="554"/>
      <c r="H49" s="247" t="str">
        <f>IFERROR(INDEX(Расценка!$1:$1048576,MATCH(D49,Расценка!$N:$N,0),MATCH($H$8,Расценка!$2:$2,0)),"-")</f>
        <v>-</v>
      </c>
      <c r="I49" s="247" t="str">
        <f>IFERROR(VLOOKUP($H49,Расценка!$S$10:$T$15,2,FALSE),"-")</f>
        <v>-</v>
      </c>
      <c r="J49" s="553"/>
      <c r="K49" s="683"/>
      <c r="L49" s="683"/>
      <c r="M49" s="683"/>
      <c r="N49" s="589" t="str">
        <f>IF(OR(L49=0,M49=0),"0,00",ROUNDDOWN(Расценка!$V$20*NETWORKDAYS.INTL(L49,M49,1,справочник!$V$2:$V$18),0))</f>
        <v>0,00</v>
      </c>
      <c r="O49" s="589">
        <f>IF(N49="0,00",0,'Трудозатраты членов ВТК'!F57)</f>
        <v>0</v>
      </c>
      <c r="P49" s="587"/>
      <c r="Q49" s="587"/>
      <c r="R49" s="663" t="str">
        <f>IF(OR(P49=0,Q49=0),"0,00",ROUNDDOWN(Расценка!$V$20*NETWORKDAYS.INTL(P49,Q49,1,справочник!$V$2:$V$18),0))</f>
        <v>0,00</v>
      </c>
      <c r="S49" s="663" t="str">
        <f>IF(OR(P49=0,Q49=0,N49="0,00"),"0,00",ROUNDDOWN(Расценка!$V$20*NETWORKDAYS.INTL(P49,Q49,1,справочник!$V$2:$V$18)*'Трудозатраты членов ВТК'!G57,0))</f>
        <v>0,00</v>
      </c>
      <c r="T49" s="663">
        <f>IF(L49="",'Трудозатраты членов ВТК'!F57,IF(OR(O49="0,00",S49="0,00"),0,'Трудозатраты членов ВТК'!F57-S49))</f>
        <v>0</v>
      </c>
      <c r="U49" s="652"/>
    </row>
    <row r="50" spans="1:21" ht="15.75" x14ac:dyDescent="0.25">
      <c r="A50" s="247">
        <v>42</v>
      </c>
      <c r="B50" s="555"/>
      <c r="C50" s="555"/>
      <c r="D50" s="553"/>
      <c r="E50" s="671"/>
      <c r="F50" s="553"/>
      <c r="G50" s="554"/>
      <c r="H50" s="247" t="str">
        <f>IFERROR(INDEX(Расценка!$1:$1048576,MATCH(D50,Расценка!$N:$N,0),MATCH($H$8,Расценка!$2:$2,0)),"-")</f>
        <v>-</v>
      </c>
      <c r="I50" s="247" t="str">
        <f>IFERROR(VLOOKUP($H50,Расценка!$S$10:$T$15,2,FALSE),"-")</f>
        <v>-</v>
      </c>
      <c r="J50" s="553"/>
      <c r="K50" s="683"/>
      <c r="L50" s="683"/>
      <c r="M50" s="683"/>
      <c r="N50" s="589" t="str">
        <f>IF(OR(L50=0,M50=0),"0,00",ROUNDDOWN(Расценка!$V$20*NETWORKDAYS.INTL(L50,M50,1,справочник!$V$2:$V$18),0))</f>
        <v>0,00</v>
      </c>
      <c r="O50" s="589">
        <f>IF(N50="0,00",0,'Трудозатраты членов ВТК'!F58)</f>
        <v>0</v>
      </c>
      <c r="P50" s="587"/>
      <c r="Q50" s="587"/>
      <c r="R50" s="663" t="str">
        <f>IF(OR(P50=0,Q50=0),"0,00",ROUNDDOWN(Расценка!$V$20*NETWORKDAYS.INTL(P50,Q50,1,справочник!$V$2:$V$18),0))</f>
        <v>0,00</v>
      </c>
      <c r="S50" s="663" t="str">
        <f>IF(OR(P50=0,Q50=0,N50="0,00"),"0,00",ROUNDDOWN(Расценка!$V$20*NETWORKDAYS.INTL(P50,Q50,1,справочник!$V$2:$V$18)*'Трудозатраты членов ВТК'!G58,0))</f>
        <v>0,00</v>
      </c>
      <c r="T50" s="663">
        <f>IF(L50="",'Трудозатраты членов ВТК'!F58,IF(OR(O50="0,00",S50="0,00"),0,'Трудозатраты членов ВТК'!F58-S50))</f>
        <v>0</v>
      </c>
      <c r="U50" s="652"/>
    </row>
    <row r="51" spans="1:21" ht="15.75" x14ac:dyDescent="0.25">
      <c r="A51" s="247">
        <v>43</v>
      </c>
      <c r="B51" s="555"/>
      <c r="C51" s="555"/>
      <c r="D51" s="553"/>
      <c r="E51" s="671"/>
      <c r="F51" s="553"/>
      <c r="G51" s="554"/>
      <c r="H51" s="247" t="str">
        <f>IFERROR(INDEX(Расценка!$1:$1048576,MATCH(D51,Расценка!$N:$N,0),MATCH($H$8,Расценка!$2:$2,0)),"-")</f>
        <v>-</v>
      </c>
      <c r="I51" s="247" t="str">
        <f>IFERROR(VLOOKUP($H51,Расценка!$S$10:$T$15,2,FALSE),"-")</f>
        <v>-</v>
      </c>
      <c r="J51" s="553"/>
      <c r="K51" s="683"/>
      <c r="L51" s="683"/>
      <c r="M51" s="683"/>
      <c r="N51" s="589" t="str">
        <f>IF(OR(L51=0,M51=0),"0,00",ROUNDDOWN(Расценка!$V$20*NETWORKDAYS.INTL(L51,M51,1,справочник!$V$2:$V$18),0))</f>
        <v>0,00</v>
      </c>
      <c r="O51" s="589">
        <f>IF(N51="0,00",0,'Трудозатраты членов ВТК'!F59)</f>
        <v>0</v>
      </c>
      <c r="P51" s="587"/>
      <c r="Q51" s="587"/>
      <c r="R51" s="663" t="str">
        <f>IF(OR(P51=0,Q51=0),"0,00",ROUNDDOWN(Расценка!$V$20*NETWORKDAYS.INTL(P51,Q51,1,справочник!$V$2:$V$18),0))</f>
        <v>0,00</v>
      </c>
      <c r="S51" s="663" t="str">
        <f>IF(OR(P51=0,Q51=0,N51="0,00"),"0,00",ROUNDDOWN(Расценка!$V$20*NETWORKDAYS.INTL(P51,Q51,1,справочник!$V$2:$V$18)*'Трудозатраты членов ВТК'!G59,0))</f>
        <v>0,00</v>
      </c>
      <c r="T51" s="663">
        <f>IF(L51="",'Трудозатраты членов ВТК'!F59,IF(OR(O51="0,00",S51="0,00"),0,'Трудозатраты членов ВТК'!F59-S51))</f>
        <v>0</v>
      </c>
      <c r="U51" s="652"/>
    </row>
    <row r="52" spans="1:21" ht="15.75" x14ac:dyDescent="0.25">
      <c r="A52" s="247">
        <v>44</v>
      </c>
      <c r="B52" s="555"/>
      <c r="C52" s="555"/>
      <c r="D52" s="553"/>
      <c r="E52" s="671"/>
      <c r="F52" s="553"/>
      <c r="G52" s="554"/>
      <c r="H52" s="247" t="str">
        <f>IFERROR(INDEX(Расценка!$1:$1048576,MATCH(D52,Расценка!$N:$N,0),MATCH($H$8,Расценка!$2:$2,0)),"-")</f>
        <v>-</v>
      </c>
      <c r="I52" s="247" t="str">
        <f>IFERROR(VLOOKUP($H52,Расценка!$S$10:$T$15,2,FALSE),"-")</f>
        <v>-</v>
      </c>
      <c r="J52" s="435"/>
      <c r="K52" s="129"/>
      <c r="L52" s="129"/>
      <c r="M52" s="129"/>
      <c r="N52" s="589" t="str">
        <f>IF(OR(L52=0,M52=0),"0,00",ROUNDDOWN(Расценка!$V$20*NETWORKDAYS.INTL(L52,M52,1,справочник!$V$2:$V$18),0))</f>
        <v>0,00</v>
      </c>
      <c r="O52" s="589">
        <f>IF(N52="0,00",0,'Трудозатраты членов ВТК'!F60)</f>
        <v>0</v>
      </c>
      <c r="P52" s="587"/>
      <c r="Q52" s="587"/>
      <c r="R52" s="663" t="str">
        <f>IF(OR(P52=0,Q52=0),"0,00",ROUNDDOWN(Расценка!$V$20*NETWORKDAYS.INTL(P52,Q52,1,справочник!$V$2:$V$18),0))</f>
        <v>0,00</v>
      </c>
      <c r="S52" s="663" t="str">
        <f>IF(OR(P52=0,Q52=0,N52="0,00"),"0,00",ROUNDDOWN(Расценка!$V$20*NETWORKDAYS.INTL(P52,Q52,1,справочник!$V$2:$V$18)*'Трудозатраты членов ВТК'!G60,0))</f>
        <v>0,00</v>
      </c>
      <c r="T52" s="663">
        <f>IF(L52="",'Трудозатраты членов ВТК'!F60,IF(OR(O52="0,00",S52="0,00"),0,'Трудозатраты членов ВТК'!F60-S52))</f>
        <v>0</v>
      </c>
      <c r="U52" s="652"/>
    </row>
    <row r="53" spans="1:21" ht="15.75" x14ac:dyDescent="0.25">
      <c r="A53" s="247">
        <v>45</v>
      </c>
      <c r="B53" s="555"/>
      <c r="C53" s="555"/>
      <c r="D53" s="553"/>
      <c r="E53" s="671"/>
      <c r="F53" s="553"/>
      <c r="G53" s="554"/>
      <c r="H53" s="247" t="str">
        <f>IFERROR(INDEX(Расценка!$1:$1048576,MATCH(D53,Расценка!$N:$N,0),MATCH($H$8,Расценка!$2:$2,0)),"-")</f>
        <v>-</v>
      </c>
      <c r="I53" s="247" t="str">
        <f>IFERROR(VLOOKUP($H53,Расценка!$S$10:$T$15,2,FALSE),"-")</f>
        <v>-</v>
      </c>
      <c r="J53" s="435"/>
      <c r="K53" s="129"/>
      <c r="L53" s="129"/>
      <c r="M53" s="129"/>
      <c r="N53" s="589" t="str">
        <f>IF(OR(L53=0,M53=0),"0,00",ROUNDDOWN(Расценка!$V$20*NETWORKDAYS.INTL(L53,M53,1,справочник!$V$2:$V$18),0))</f>
        <v>0,00</v>
      </c>
      <c r="O53" s="589">
        <f>IF(N53="0,00",0,'Трудозатраты членов ВТК'!F61)</f>
        <v>0</v>
      </c>
      <c r="P53" s="587"/>
      <c r="Q53" s="587"/>
      <c r="R53" s="663" t="str">
        <f>IF(OR(P53=0,Q53=0),"0,00",ROUNDDOWN(Расценка!$V$20*NETWORKDAYS.INTL(P53,Q53,1,справочник!$V$2:$V$18),0))</f>
        <v>0,00</v>
      </c>
      <c r="S53" s="663" t="str">
        <f>IF(OR(P53=0,Q53=0,N53="0,00"),"0,00",ROUNDDOWN(Расценка!$V$20*NETWORKDAYS.INTL(P53,Q53,1,справочник!$V$2:$V$18)*'Трудозатраты членов ВТК'!G61,0))</f>
        <v>0,00</v>
      </c>
      <c r="T53" s="663">
        <f>IF(L53="",'Трудозатраты членов ВТК'!F61,IF(OR(O53="0,00",S53="0,00"),0,'Трудозатраты членов ВТК'!F61-S53))</f>
        <v>0</v>
      </c>
      <c r="U53" s="652"/>
    </row>
    <row r="54" spans="1:21" ht="15.75" x14ac:dyDescent="0.25">
      <c r="A54" s="247">
        <v>46</v>
      </c>
      <c r="B54" s="555"/>
      <c r="C54" s="555"/>
      <c r="D54" s="553"/>
      <c r="E54" s="671"/>
      <c r="F54" s="553"/>
      <c r="G54" s="554"/>
      <c r="H54" s="247" t="str">
        <f>IFERROR(INDEX(Расценка!$1:$1048576,MATCH(D54,Расценка!$N:$N,0),MATCH($H$8,Расценка!$2:$2,0)),"-")</f>
        <v>-</v>
      </c>
      <c r="I54" s="247" t="str">
        <f>IFERROR(VLOOKUP($H54,Расценка!$S$10:$T$15,2,FALSE),"-")</f>
        <v>-</v>
      </c>
      <c r="J54" s="435"/>
      <c r="K54" s="129"/>
      <c r="L54" s="129"/>
      <c r="M54" s="129"/>
      <c r="N54" s="589" t="str">
        <f>IF(OR(L54=0,M54=0),"0,00",ROUNDDOWN(Расценка!$V$20*NETWORKDAYS.INTL(L54,M54,1,справочник!$V$2:$V$18),0))</f>
        <v>0,00</v>
      </c>
      <c r="O54" s="589">
        <f>IF(N54="0,00",0,'Трудозатраты членов ВТК'!F62)</f>
        <v>0</v>
      </c>
      <c r="P54" s="587"/>
      <c r="Q54" s="587"/>
      <c r="R54" s="663" t="str">
        <f>IF(OR(P54=0,Q54=0),"0,00",ROUNDDOWN(Расценка!$V$20*NETWORKDAYS.INTL(P54,Q54,1,справочник!$V$2:$V$18),0))</f>
        <v>0,00</v>
      </c>
      <c r="S54" s="663" t="str">
        <f>IF(OR(P54=0,Q54=0,N54="0,00"),"0,00",ROUNDDOWN(Расценка!$V$20*NETWORKDAYS.INTL(P54,Q54,1,справочник!$V$2:$V$18)*'Трудозатраты членов ВТК'!G62,0))</f>
        <v>0,00</v>
      </c>
      <c r="T54" s="663">
        <f>IF(L54="",'Трудозатраты членов ВТК'!F62,IF(OR(O54="0,00",S54="0,00"),0,'Трудозатраты членов ВТК'!F62-S54))</f>
        <v>0</v>
      </c>
      <c r="U54" s="652"/>
    </row>
    <row r="55" spans="1:21" ht="15.75" x14ac:dyDescent="0.25">
      <c r="A55" s="247">
        <v>47</v>
      </c>
      <c r="B55" s="555"/>
      <c r="C55" s="555"/>
      <c r="D55" s="553"/>
      <c r="E55" s="671"/>
      <c r="F55" s="553"/>
      <c r="G55" s="554"/>
      <c r="H55" s="247" t="str">
        <f>IFERROR(INDEX(Расценка!$1:$1048576,MATCH(D55,Расценка!$N:$N,0),MATCH($H$8,Расценка!$2:$2,0)),"-")</f>
        <v>-</v>
      </c>
      <c r="I55" s="247" t="str">
        <f>IFERROR(VLOOKUP($H55,Расценка!$S$10:$T$15,2,FALSE),"-")</f>
        <v>-</v>
      </c>
      <c r="J55" s="435"/>
      <c r="K55" s="129"/>
      <c r="L55" s="129"/>
      <c r="M55" s="129"/>
      <c r="N55" s="589" t="str">
        <f>IF(OR(L55=0,M55=0),"0,00",ROUNDDOWN(Расценка!$V$20*NETWORKDAYS.INTL(L55,M55,1,справочник!$V$2:$V$18),0))</f>
        <v>0,00</v>
      </c>
      <c r="O55" s="589">
        <f>IF(N55="0,00",0,'Трудозатраты членов ВТК'!F63)</f>
        <v>0</v>
      </c>
      <c r="P55" s="587"/>
      <c r="Q55" s="587"/>
      <c r="R55" s="663" t="str">
        <f>IF(OR(P55=0,Q55=0),"0,00",ROUNDDOWN(Расценка!$V$20*NETWORKDAYS.INTL(P55,Q55,1,справочник!$V$2:$V$18),0))</f>
        <v>0,00</v>
      </c>
      <c r="S55" s="663" t="str">
        <f>IF(OR(P55=0,Q55=0,N55="0,00"),"0,00",ROUNDDOWN(Расценка!$V$20*NETWORKDAYS.INTL(P55,Q55,1,справочник!$V$2:$V$18)*'Трудозатраты членов ВТК'!G63,0))</f>
        <v>0,00</v>
      </c>
      <c r="T55" s="663">
        <f>IF(L55="",'Трудозатраты членов ВТК'!F63,IF(OR(O55="0,00",S55="0,00"),0,'Трудозатраты членов ВТК'!F63-S55))</f>
        <v>0</v>
      </c>
      <c r="U55" s="652"/>
    </row>
    <row r="56" spans="1:21" ht="15.75" x14ac:dyDescent="0.25">
      <c r="A56" s="247">
        <v>48</v>
      </c>
      <c r="B56" s="555"/>
      <c r="C56" s="555"/>
      <c r="D56" s="553"/>
      <c r="E56" s="671"/>
      <c r="F56" s="553"/>
      <c r="G56" s="554"/>
      <c r="H56" s="247" t="str">
        <f>IFERROR(INDEX(Расценка!$1:$1048576,MATCH(D56,Расценка!$N:$N,0),MATCH($H$8,Расценка!$2:$2,0)),"-")</f>
        <v>-</v>
      </c>
      <c r="I56" s="247" t="str">
        <f>IFERROR(VLOOKUP($H56,Расценка!$S$10:$T$15,2,FALSE),"-")</f>
        <v>-</v>
      </c>
      <c r="J56" s="435"/>
      <c r="K56" s="129"/>
      <c r="L56" s="129"/>
      <c r="M56" s="129"/>
      <c r="N56" s="589" t="str">
        <f>IF(OR(L56=0,M56=0),"0,00",ROUNDDOWN(Расценка!$V$20*NETWORKDAYS.INTL(L56,M56,1,справочник!$V$2:$V$18),0))</f>
        <v>0,00</v>
      </c>
      <c r="O56" s="589">
        <f>IF(N56="0,00",0,'Трудозатраты членов ВТК'!F64)</f>
        <v>0</v>
      </c>
      <c r="P56" s="587"/>
      <c r="Q56" s="587"/>
      <c r="R56" s="663" t="str">
        <f>IF(OR(P56=0,Q56=0),"0,00",ROUNDDOWN(Расценка!$V$20*NETWORKDAYS.INTL(P56,Q56,1,справочник!$V$2:$V$18),0))</f>
        <v>0,00</v>
      </c>
      <c r="S56" s="663" t="str">
        <f>IF(OR(P56=0,Q56=0,N56="0,00"),"0,00",ROUNDDOWN(Расценка!$V$20*NETWORKDAYS.INTL(P56,Q56,1,справочник!$V$2:$V$18)*'Трудозатраты членов ВТК'!G64,0))</f>
        <v>0,00</v>
      </c>
      <c r="T56" s="663">
        <f>IF(L56="",'Трудозатраты членов ВТК'!F64,IF(OR(O56="0,00",S56="0,00"),0,'Трудозатраты членов ВТК'!F64-S56))</f>
        <v>0</v>
      </c>
      <c r="U56" s="652"/>
    </row>
    <row r="57" spans="1:21" ht="15.75" x14ac:dyDescent="0.25">
      <c r="A57" s="247">
        <v>49</v>
      </c>
      <c r="B57" s="555"/>
      <c r="C57" s="555"/>
      <c r="D57" s="553"/>
      <c r="E57" s="671"/>
      <c r="F57" s="553"/>
      <c r="G57" s="554"/>
      <c r="H57" s="247" t="str">
        <f>IFERROR(INDEX(Расценка!$1:$1048576,MATCH(D57,Расценка!$N:$N,0),MATCH($H$8,Расценка!$2:$2,0)),"-")</f>
        <v>-</v>
      </c>
      <c r="I57" s="247" t="str">
        <f>IFERROR(VLOOKUP($H57,Расценка!$S$10:$T$15,2,FALSE),"-")</f>
        <v>-</v>
      </c>
      <c r="J57" s="435"/>
      <c r="K57" s="129"/>
      <c r="L57" s="129"/>
      <c r="M57" s="129"/>
      <c r="N57" s="589" t="str">
        <f>IF(OR(L57=0,M57=0),"0,00",ROUNDDOWN(Расценка!$V$20*NETWORKDAYS.INTL(L57,M57,1,справочник!$V$2:$V$18),0))</f>
        <v>0,00</v>
      </c>
      <c r="O57" s="589">
        <f>IF(N57="0,00",0,'Трудозатраты членов ВТК'!F65)</f>
        <v>0</v>
      </c>
      <c r="P57" s="587"/>
      <c r="Q57" s="587"/>
      <c r="R57" s="663" t="str">
        <f>IF(OR(P57=0,Q57=0),"0,00",ROUNDDOWN(Расценка!$V$20*NETWORKDAYS.INTL(P57,Q57,1,справочник!$V$2:$V$18),0))</f>
        <v>0,00</v>
      </c>
      <c r="S57" s="663" t="str">
        <f>IF(OR(P57=0,Q57=0,N57="0,00"),"0,00",ROUNDDOWN(Расценка!$V$20*NETWORKDAYS.INTL(P57,Q57,1,справочник!$V$2:$V$18)*'Трудозатраты членов ВТК'!G65,0))</f>
        <v>0,00</v>
      </c>
      <c r="T57" s="663">
        <f>IF(L57="",'Трудозатраты членов ВТК'!F65,IF(OR(O57="0,00",S57="0,00"),0,'Трудозатраты членов ВТК'!F65-S57))</f>
        <v>0</v>
      </c>
      <c r="U57" s="652"/>
    </row>
    <row r="58" spans="1:21" ht="15.75" x14ac:dyDescent="0.25">
      <c r="A58" s="247">
        <v>50</v>
      </c>
      <c r="B58" s="555"/>
      <c r="C58" s="555"/>
      <c r="D58" s="553"/>
      <c r="E58" s="671"/>
      <c r="F58" s="553"/>
      <c r="G58" s="554"/>
      <c r="H58" s="247" t="str">
        <f>IFERROR(INDEX(Расценка!$1:$1048576,MATCH(D58,Расценка!$N:$N,0),MATCH($H$8,Расценка!$2:$2,0)),"-")</f>
        <v>-</v>
      </c>
      <c r="I58" s="247" t="str">
        <f>IFERROR(VLOOKUP($H58,Расценка!$S$10:$T$15,2,FALSE),"-")</f>
        <v>-</v>
      </c>
      <c r="J58" s="435"/>
      <c r="K58" s="129"/>
      <c r="L58" s="129"/>
      <c r="M58" s="129"/>
      <c r="N58" s="589" t="str">
        <f>IF(OR(L58=0,M58=0),"0,00",ROUNDDOWN(Расценка!$V$20*NETWORKDAYS.INTL(L58,M58,1,справочник!$V$2:$V$18),0))</f>
        <v>0,00</v>
      </c>
      <c r="O58" s="589">
        <f>IF(N58="0,00",0,'Трудозатраты членов ВТК'!F66)</f>
        <v>0</v>
      </c>
      <c r="P58" s="587"/>
      <c r="Q58" s="587"/>
      <c r="R58" s="663" t="str">
        <f>IF(OR(P58=0,Q58=0),"0,00",ROUNDDOWN(Расценка!$V$20*NETWORKDAYS.INTL(P58,Q58,1,справочник!$V$2:$V$18),0))</f>
        <v>0,00</v>
      </c>
      <c r="S58" s="663" t="str">
        <f>IF(OR(P58=0,Q58=0,N58="0,00"),"0,00",ROUNDDOWN(Расценка!$V$20*NETWORKDAYS.INTL(P58,Q58,1,справочник!$V$2:$V$18)*'Трудозатраты членов ВТК'!G66,0))</f>
        <v>0,00</v>
      </c>
      <c r="T58" s="663">
        <f>IF(L58="",'Трудозатраты членов ВТК'!F66,IF(OR(O58="0,00",S58="0,00"),0,'Трудозатраты членов ВТК'!F66-S58))</f>
        <v>0</v>
      </c>
      <c r="U58" s="652"/>
    </row>
    <row r="59" spans="1:21" ht="15.75" x14ac:dyDescent="0.25">
      <c r="A59" s="247">
        <v>51</v>
      </c>
      <c r="B59" s="555"/>
      <c r="C59" s="555"/>
      <c r="D59" s="553"/>
      <c r="E59" s="671"/>
      <c r="F59" s="553"/>
      <c r="G59" s="554"/>
      <c r="H59" s="247" t="str">
        <f>IFERROR(INDEX(Расценка!$1:$1048576,MATCH(D59,Расценка!$N:$N,0),MATCH($H$8,Расценка!$2:$2,0)),"-")</f>
        <v>-</v>
      </c>
      <c r="I59" s="247" t="str">
        <f>IFERROR(VLOOKUP($H59,Расценка!$S$10:$T$15,2,FALSE),"-")</f>
        <v>-</v>
      </c>
      <c r="J59" s="435"/>
      <c r="K59" s="129"/>
      <c r="L59" s="129"/>
      <c r="M59" s="129"/>
      <c r="N59" s="589" t="str">
        <f>IF(OR(L59=0,M59=0),"0,00",ROUNDDOWN(Расценка!$V$20*NETWORKDAYS.INTL(L59,M59,1,справочник!$V$2:$V$18),0))</f>
        <v>0,00</v>
      </c>
      <c r="O59" s="589">
        <f>IF(N59="0,00",0,'Трудозатраты членов ВТК'!F67)</f>
        <v>0</v>
      </c>
      <c r="P59" s="587"/>
      <c r="Q59" s="587"/>
      <c r="R59" s="663" t="str">
        <f>IF(OR(P59=0,Q59=0),"0,00",ROUNDDOWN(Расценка!$V$20*NETWORKDAYS.INTL(P59,Q59,1,справочник!$V$2:$V$18),0))</f>
        <v>0,00</v>
      </c>
      <c r="S59" s="663" t="str">
        <f>IF(OR(P59=0,Q59=0,N59="0,00"),"0,00",ROUNDDOWN(Расценка!$V$20*NETWORKDAYS.INTL(P59,Q59,1,справочник!$V$2:$V$18)*'Трудозатраты членов ВТК'!G67,0))</f>
        <v>0,00</v>
      </c>
      <c r="T59" s="663">
        <f>IF(L59="",'Трудозатраты членов ВТК'!F67,IF(OR(O59="0,00",S59="0,00"),0,'Трудозатраты членов ВТК'!F67-S59))</f>
        <v>0</v>
      </c>
      <c r="U59" s="652"/>
    </row>
    <row r="60" spans="1:21" ht="15.75" x14ac:dyDescent="0.25">
      <c r="A60" s="247">
        <v>52</v>
      </c>
      <c r="B60" s="555"/>
      <c r="C60" s="555"/>
      <c r="D60" s="553"/>
      <c r="E60" s="671"/>
      <c r="F60" s="553"/>
      <c r="G60" s="554"/>
      <c r="H60" s="247" t="str">
        <f>IFERROR(INDEX(Расценка!$1:$1048576,MATCH(D60,Расценка!$N:$N,0),MATCH($H$8,Расценка!$2:$2,0)),"-")</f>
        <v>-</v>
      </c>
      <c r="I60" s="247" t="str">
        <f>IFERROR(VLOOKUP($H60,Расценка!$S$10:$T$15,2,FALSE),"-")</f>
        <v>-</v>
      </c>
      <c r="J60" s="435"/>
      <c r="K60" s="129"/>
      <c r="L60" s="129"/>
      <c r="M60" s="129"/>
      <c r="N60" s="589" t="str">
        <f>IF(OR(L60=0,M60=0),"0,00",ROUNDDOWN(Расценка!$V$20*NETWORKDAYS.INTL(L60,M60,1,справочник!$V$2:$V$18),0))</f>
        <v>0,00</v>
      </c>
      <c r="O60" s="589">
        <f>IF(N60="0,00",0,'Трудозатраты членов ВТК'!F68)</f>
        <v>0</v>
      </c>
      <c r="P60" s="587"/>
      <c r="Q60" s="587"/>
      <c r="R60" s="663" t="str">
        <f>IF(OR(P60=0,Q60=0),"0,00",ROUNDDOWN(Расценка!$V$20*NETWORKDAYS.INTL(P60,Q60,1,справочник!$V$2:$V$18),0))</f>
        <v>0,00</v>
      </c>
      <c r="S60" s="663" t="str">
        <f>IF(OR(P60=0,Q60=0,N60="0,00"),"0,00",ROUNDDOWN(Расценка!$V$20*NETWORKDAYS.INTL(P60,Q60,1,справочник!$V$2:$V$18)*'Трудозатраты членов ВТК'!G68,0))</f>
        <v>0,00</v>
      </c>
      <c r="T60" s="663">
        <f>IF(L60="",'Трудозатраты членов ВТК'!F68,IF(OR(O60="0,00",S60="0,00"),0,'Трудозатраты членов ВТК'!F68-S60))</f>
        <v>0</v>
      </c>
      <c r="U60" s="652"/>
    </row>
    <row r="61" spans="1:21" ht="15.75" x14ac:dyDescent="0.25">
      <c r="A61" s="247">
        <v>53</v>
      </c>
      <c r="B61" s="555"/>
      <c r="C61" s="555"/>
      <c r="D61" s="553"/>
      <c r="E61" s="671"/>
      <c r="F61" s="553"/>
      <c r="G61" s="554"/>
      <c r="H61" s="247" t="str">
        <f>IFERROR(INDEX(Расценка!$1:$1048576,MATCH(D61,Расценка!$N:$N,0),MATCH($H$8,Расценка!$2:$2,0)),"-")</f>
        <v>-</v>
      </c>
      <c r="I61" s="247" t="str">
        <f>IFERROR(VLOOKUP($H61,Расценка!$S$10:$T$15,2,FALSE),"-")</f>
        <v>-</v>
      </c>
      <c r="J61" s="435"/>
      <c r="K61" s="129"/>
      <c r="L61" s="129"/>
      <c r="M61" s="129"/>
      <c r="N61" s="589" t="str">
        <f>IF(OR(L61=0,M61=0),"0,00",ROUNDDOWN(Расценка!$V$20*NETWORKDAYS.INTL(L61,M61,1,справочник!$V$2:$V$18),0))</f>
        <v>0,00</v>
      </c>
      <c r="O61" s="589">
        <f>IF(N61="0,00",0,'Трудозатраты членов ВТК'!F69)</f>
        <v>0</v>
      </c>
      <c r="P61" s="587"/>
      <c r="Q61" s="587"/>
      <c r="R61" s="663" t="str">
        <f>IF(OR(P61=0,Q61=0),"0,00",ROUNDDOWN(Расценка!$V$20*NETWORKDAYS.INTL(P61,Q61,1,справочник!$V$2:$V$18),0))</f>
        <v>0,00</v>
      </c>
      <c r="S61" s="663" t="str">
        <f>IF(OR(P61=0,Q61=0,N61="0,00"),"0,00",ROUNDDOWN(Расценка!$V$20*NETWORKDAYS.INTL(P61,Q61,1,справочник!$V$2:$V$18)*'Трудозатраты членов ВТК'!G69,0))</f>
        <v>0,00</v>
      </c>
      <c r="T61" s="663">
        <f>IF(L61="",'Трудозатраты членов ВТК'!F69,IF(OR(O61="0,00",S61="0,00"),0,'Трудозатраты членов ВТК'!F69-S61))</f>
        <v>0</v>
      </c>
      <c r="U61" s="652"/>
    </row>
    <row r="62" spans="1:21" ht="15.75" x14ac:dyDescent="0.25">
      <c r="A62" s="247">
        <v>54</v>
      </c>
      <c r="B62" s="555"/>
      <c r="C62" s="555"/>
      <c r="D62" s="553"/>
      <c r="E62" s="671"/>
      <c r="F62" s="553"/>
      <c r="G62" s="554"/>
      <c r="H62" s="247" t="str">
        <f>IFERROR(INDEX(Расценка!$1:$1048576,MATCH(D62,Расценка!$N:$N,0),MATCH($H$8,Расценка!$2:$2,0)),"-")</f>
        <v>-</v>
      </c>
      <c r="I62" s="247" t="str">
        <f>IFERROR(VLOOKUP($H62,Расценка!$S$10:$T$15,2,FALSE),"-")</f>
        <v>-</v>
      </c>
      <c r="J62" s="435"/>
      <c r="K62" s="129"/>
      <c r="L62" s="129"/>
      <c r="M62" s="129"/>
      <c r="N62" s="589" t="str">
        <f>IF(OR(L62=0,M62=0),"0,00",ROUNDDOWN(Расценка!$V$20*NETWORKDAYS.INTL(L62,M62,1,справочник!$V$2:$V$18),0))</f>
        <v>0,00</v>
      </c>
      <c r="O62" s="589">
        <f>IF(N62="0,00",0,'Трудозатраты членов ВТК'!F70)</f>
        <v>0</v>
      </c>
      <c r="P62" s="587"/>
      <c r="Q62" s="587"/>
      <c r="R62" s="663" t="str">
        <f>IF(OR(P62=0,Q62=0),"0,00",ROUNDDOWN(Расценка!$V$20*NETWORKDAYS.INTL(P62,Q62,1,справочник!$V$2:$V$18),0))</f>
        <v>0,00</v>
      </c>
      <c r="S62" s="663" t="str">
        <f>IF(OR(P62=0,Q62=0,N62="0,00"),"0,00",ROUNDDOWN(Расценка!$V$20*NETWORKDAYS.INTL(P62,Q62,1,справочник!$V$2:$V$18)*'Трудозатраты членов ВТК'!G70,0))</f>
        <v>0,00</v>
      </c>
      <c r="T62" s="663">
        <f>IF(L62="",'Трудозатраты членов ВТК'!F70,IF(OR(O62="0,00",S62="0,00"),0,'Трудозатраты членов ВТК'!F70-S62))</f>
        <v>0</v>
      </c>
      <c r="U62" s="652"/>
    </row>
    <row r="63" spans="1:21" ht="15.75" x14ac:dyDescent="0.25">
      <c r="A63" s="247">
        <v>55</v>
      </c>
      <c r="B63" s="555"/>
      <c r="C63" s="555"/>
      <c r="D63" s="553"/>
      <c r="E63" s="671"/>
      <c r="F63" s="553"/>
      <c r="G63" s="554"/>
      <c r="H63" s="247" t="str">
        <f>IFERROR(INDEX(Расценка!$1:$1048576,MATCH(D63,Расценка!$N:$N,0),MATCH($H$8,Расценка!$2:$2,0)),"-")</f>
        <v>-</v>
      </c>
      <c r="I63" s="247" t="str">
        <f>IFERROR(VLOOKUP($H63,Расценка!$S$10:$T$15,2,FALSE),"-")</f>
        <v>-</v>
      </c>
      <c r="J63" s="435"/>
      <c r="K63" s="129"/>
      <c r="L63" s="129"/>
      <c r="M63" s="129"/>
      <c r="N63" s="589" t="str">
        <f>IF(OR(L63=0,M63=0),"0,00",ROUNDDOWN(Расценка!$V$20*NETWORKDAYS.INTL(L63,M63,1,справочник!$V$2:$V$18),0))</f>
        <v>0,00</v>
      </c>
      <c r="O63" s="589">
        <f>IF(N63="0,00",0,'Трудозатраты членов ВТК'!F71)</f>
        <v>0</v>
      </c>
      <c r="P63" s="587"/>
      <c r="Q63" s="587"/>
      <c r="R63" s="663" t="str">
        <f>IF(OR(P63=0,Q63=0),"0,00",ROUNDDOWN(Расценка!$V$20*NETWORKDAYS.INTL(P63,Q63,1,справочник!$V$2:$V$18),0))</f>
        <v>0,00</v>
      </c>
      <c r="S63" s="663" t="str">
        <f>IF(OR(P63=0,Q63=0,N63="0,00"),"0,00",ROUNDDOWN(Расценка!$V$20*NETWORKDAYS.INTL(P63,Q63,1,справочник!$V$2:$V$18)*'Трудозатраты членов ВТК'!G71,0))</f>
        <v>0,00</v>
      </c>
      <c r="T63" s="663">
        <f>IF(L63="",'Трудозатраты членов ВТК'!F71,IF(OR(O63="0,00",S63="0,00"),0,'Трудозатраты членов ВТК'!F71-S63))</f>
        <v>0</v>
      </c>
      <c r="U63" s="652"/>
    </row>
    <row r="64" spans="1:21" ht="15.75" x14ac:dyDescent="0.25">
      <c r="A64" s="247">
        <v>56</v>
      </c>
      <c r="B64" s="555"/>
      <c r="C64" s="555"/>
      <c r="D64" s="553"/>
      <c r="E64" s="671"/>
      <c r="F64" s="553"/>
      <c r="G64" s="554"/>
      <c r="H64" s="247" t="str">
        <f>IFERROR(INDEX(Расценка!$1:$1048576,MATCH(D64,Расценка!$N:$N,0),MATCH($H$8,Расценка!$2:$2,0)),"-")</f>
        <v>-</v>
      </c>
      <c r="I64" s="247" t="str">
        <f>IFERROR(VLOOKUP($H64,Расценка!$S$10:$T$15,2,FALSE),"-")</f>
        <v>-</v>
      </c>
      <c r="J64" s="435"/>
      <c r="K64" s="129"/>
      <c r="L64" s="129"/>
      <c r="M64" s="129"/>
      <c r="N64" s="589" t="str">
        <f>IF(OR(L64=0,M64=0),"0,00",ROUNDDOWN(Расценка!$V$20*NETWORKDAYS.INTL(L64,M64,1,справочник!$V$2:$V$18),0))</f>
        <v>0,00</v>
      </c>
      <c r="O64" s="589">
        <f>IF(N64="0,00",0,'Трудозатраты членов ВТК'!F72)</f>
        <v>0</v>
      </c>
      <c r="P64" s="587"/>
      <c r="Q64" s="587"/>
      <c r="R64" s="663" t="str">
        <f>IF(OR(P64=0,Q64=0),"0,00",ROUNDDOWN(Расценка!$V$20*NETWORKDAYS.INTL(P64,Q64,1,справочник!$V$2:$V$18),0))</f>
        <v>0,00</v>
      </c>
      <c r="S64" s="663" t="str">
        <f>IF(OR(P64=0,Q64=0,N64="0,00"),"0,00",ROUNDDOWN(Расценка!$V$20*NETWORKDAYS.INTL(P64,Q64,1,справочник!$V$2:$V$18)*'Трудозатраты членов ВТК'!G72,0))</f>
        <v>0,00</v>
      </c>
      <c r="T64" s="663">
        <f>IF(L64="",'Трудозатраты членов ВТК'!F72,IF(OR(O64="0,00",S64="0,00"),0,'Трудозатраты членов ВТК'!F72-S64))</f>
        <v>0</v>
      </c>
      <c r="U64" s="652"/>
    </row>
    <row r="65" spans="1:21" ht="15.75" x14ac:dyDescent="0.25">
      <c r="A65" s="247">
        <v>57</v>
      </c>
      <c r="B65" s="555"/>
      <c r="C65" s="555"/>
      <c r="D65" s="553"/>
      <c r="E65" s="671"/>
      <c r="F65" s="553"/>
      <c r="G65" s="554"/>
      <c r="H65" s="247" t="str">
        <f>IFERROR(INDEX(Расценка!$1:$1048576,MATCH(D65,Расценка!$N:$N,0),MATCH($H$8,Расценка!$2:$2,0)),"-")</f>
        <v>-</v>
      </c>
      <c r="I65" s="247" t="str">
        <f>IFERROR(VLOOKUP($H65,Расценка!$S$10:$T$15,2,FALSE),"-")</f>
        <v>-</v>
      </c>
      <c r="J65" s="435"/>
      <c r="K65" s="129"/>
      <c r="L65" s="129"/>
      <c r="M65" s="129"/>
      <c r="N65" s="589" t="str">
        <f>IF(OR(L65=0,M65=0),"0,00",ROUNDDOWN(Расценка!$V$20*NETWORKDAYS.INTL(L65,M65,1,справочник!$V$2:$V$18),0))</f>
        <v>0,00</v>
      </c>
      <c r="O65" s="589">
        <f>IF(N65="0,00",0,'Трудозатраты членов ВТК'!F73)</f>
        <v>0</v>
      </c>
      <c r="P65" s="587"/>
      <c r="Q65" s="587"/>
      <c r="R65" s="663" t="str">
        <f>IF(OR(P65=0,Q65=0),"0,00",ROUNDDOWN(Расценка!$V$20*NETWORKDAYS.INTL(P65,Q65,1,справочник!$V$2:$V$18),0))</f>
        <v>0,00</v>
      </c>
      <c r="S65" s="663" t="str">
        <f>IF(OR(P65=0,Q65=0,N65="0,00"),"0,00",ROUNDDOWN(Расценка!$V$20*NETWORKDAYS.INTL(P65,Q65,1,справочник!$V$2:$V$18)*'Трудозатраты членов ВТК'!G73,0))</f>
        <v>0,00</v>
      </c>
      <c r="T65" s="663">
        <f>IF(L65="",'Трудозатраты членов ВТК'!F73,IF(OR(O65="0,00",S65="0,00"),0,'Трудозатраты членов ВТК'!F73-S65))</f>
        <v>0</v>
      </c>
      <c r="U65" s="652"/>
    </row>
    <row r="66" spans="1:21" ht="15.75" x14ac:dyDescent="0.25">
      <c r="A66" s="247">
        <v>58</v>
      </c>
      <c r="B66" s="555"/>
      <c r="C66" s="555"/>
      <c r="D66" s="553"/>
      <c r="E66" s="671"/>
      <c r="F66" s="553"/>
      <c r="G66" s="554"/>
      <c r="H66" s="247" t="str">
        <f>IFERROR(INDEX(Расценка!$1:$1048576,MATCH(D66,Расценка!$N:$N,0),MATCH($H$8,Расценка!$2:$2,0)),"-")</f>
        <v>-</v>
      </c>
      <c r="I66" s="247" t="str">
        <f>IFERROR(VLOOKUP($H66,Расценка!$S$10:$T$15,2,FALSE),"-")</f>
        <v>-</v>
      </c>
      <c r="J66" s="435"/>
      <c r="K66" s="129"/>
      <c r="L66" s="129"/>
      <c r="M66" s="129"/>
      <c r="N66" s="589" t="str">
        <f>IF(OR(L66=0,M66=0),"0,00",ROUNDDOWN(Расценка!$V$20*NETWORKDAYS.INTL(L66,M66,1,справочник!$V$2:$V$18),0))</f>
        <v>0,00</v>
      </c>
      <c r="O66" s="589">
        <f>IF(N66="0,00",0,'Трудозатраты членов ВТК'!F74)</f>
        <v>0</v>
      </c>
      <c r="P66" s="587"/>
      <c r="Q66" s="587"/>
      <c r="R66" s="663" t="str">
        <f>IF(OR(P66=0,Q66=0),"0,00",ROUNDDOWN(Расценка!$V$20*NETWORKDAYS.INTL(P66,Q66,1,справочник!$V$2:$V$18),0))</f>
        <v>0,00</v>
      </c>
      <c r="S66" s="663" t="str">
        <f>IF(OR(P66=0,Q66=0,N66="0,00"),"0,00",ROUNDDOWN(Расценка!$V$20*NETWORKDAYS.INTL(P66,Q66,1,справочник!$V$2:$V$18)*'Трудозатраты членов ВТК'!G74,0))</f>
        <v>0,00</v>
      </c>
      <c r="T66" s="663">
        <f>IF(L66="",'Трудозатраты членов ВТК'!F74,IF(OR(O66="0,00",S66="0,00"),0,'Трудозатраты членов ВТК'!F74-S66))</f>
        <v>0</v>
      </c>
      <c r="U66" s="652"/>
    </row>
    <row r="67" spans="1:21" ht="15.75" x14ac:dyDescent="0.25">
      <c r="A67" s="247">
        <v>59</v>
      </c>
      <c r="B67" s="555"/>
      <c r="C67" s="555"/>
      <c r="D67" s="553"/>
      <c r="E67" s="671"/>
      <c r="F67" s="553"/>
      <c r="G67" s="554"/>
      <c r="H67" s="247" t="str">
        <f>IFERROR(INDEX(Расценка!$1:$1048576,MATCH(D67,Расценка!$N:$N,0),MATCH($H$8,Расценка!$2:$2,0)),"-")</f>
        <v>-</v>
      </c>
      <c r="I67" s="247" t="str">
        <f>IFERROR(VLOOKUP($H67,Расценка!$S$10:$T$15,2,FALSE),"-")</f>
        <v>-</v>
      </c>
      <c r="J67" s="435"/>
      <c r="K67" s="129"/>
      <c r="L67" s="129"/>
      <c r="M67" s="129"/>
      <c r="N67" s="589" t="str">
        <f>IF(OR(L67=0,M67=0),"0,00",ROUNDDOWN(Расценка!$V$20*NETWORKDAYS.INTL(L67,M67,1,справочник!$V$2:$V$18),0))</f>
        <v>0,00</v>
      </c>
      <c r="O67" s="589">
        <f>IF(N67="0,00",0,'Трудозатраты членов ВТК'!F75)</f>
        <v>0</v>
      </c>
      <c r="P67" s="587"/>
      <c r="Q67" s="587"/>
      <c r="R67" s="663" t="str">
        <f>IF(OR(P67=0,Q67=0),"0,00",ROUNDDOWN(Расценка!$V$20*NETWORKDAYS.INTL(P67,Q67,1,справочник!$V$2:$V$18),0))</f>
        <v>0,00</v>
      </c>
      <c r="S67" s="663" t="str">
        <f>IF(OR(P67=0,Q67=0,N67="0,00"),"0,00",ROUNDDOWN(Расценка!$V$20*NETWORKDAYS.INTL(P67,Q67,1,справочник!$V$2:$V$18)*'Трудозатраты членов ВТК'!G75,0))</f>
        <v>0,00</v>
      </c>
      <c r="T67" s="663">
        <f>IF(L67="",'Трудозатраты членов ВТК'!F75,IF(OR(O67="0,00",S67="0,00"),0,'Трудозатраты членов ВТК'!F75-S67))</f>
        <v>0</v>
      </c>
      <c r="U67" s="652"/>
    </row>
    <row r="68" spans="1:21" ht="15.75" x14ac:dyDescent="0.25">
      <c r="A68" s="247">
        <v>60</v>
      </c>
      <c r="B68" s="555"/>
      <c r="C68" s="555"/>
      <c r="D68" s="553"/>
      <c r="E68" s="671"/>
      <c r="F68" s="553"/>
      <c r="G68" s="554"/>
      <c r="H68" s="247" t="str">
        <f>IFERROR(INDEX(Расценка!$1:$1048576,MATCH(D68,Расценка!$N:$N,0),MATCH($H$8,Расценка!$2:$2,0)),"-")</f>
        <v>-</v>
      </c>
      <c r="I68" s="247" t="str">
        <f>IFERROR(VLOOKUP($H68,Расценка!$S$10:$T$15,2,FALSE),"-")</f>
        <v>-</v>
      </c>
      <c r="J68" s="435"/>
      <c r="K68" s="129"/>
      <c r="L68" s="129"/>
      <c r="M68" s="129"/>
      <c r="N68" s="589" t="str">
        <f>IF(OR(L68=0,M68=0),"0,00",ROUNDDOWN(Расценка!$V$20*NETWORKDAYS.INTL(L68,M68,1,справочник!$V$2:$V$18),0))</f>
        <v>0,00</v>
      </c>
      <c r="O68" s="589">
        <f>IF(N68="0,00",0,'Трудозатраты членов ВТК'!F76)</f>
        <v>0</v>
      </c>
      <c r="P68" s="587"/>
      <c r="Q68" s="587"/>
      <c r="R68" s="663" t="str">
        <f>IF(OR(P68=0,Q68=0),"0,00",ROUNDDOWN(Расценка!$V$20*NETWORKDAYS.INTL(P68,Q68,1,справочник!$V$2:$V$18),0))</f>
        <v>0,00</v>
      </c>
      <c r="S68" s="663" t="str">
        <f>IF(OR(P68=0,Q68=0,N68="0,00"),"0,00",ROUNDDOWN(Расценка!$V$20*NETWORKDAYS.INTL(P68,Q68,1,справочник!$V$2:$V$18)*'Трудозатраты членов ВТК'!G76,0))</f>
        <v>0,00</v>
      </c>
      <c r="T68" s="663">
        <f>IF(L68="",'Трудозатраты членов ВТК'!F76,IF(OR(O68="0,00",S68="0,00"),0,'Трудозатраты членов ВТК'!F76-S68))</f>
        <v>0</v>
      </c>
      <c r="U68" s="652"/>
    </row>
    <row r="69" spans="1:21" ht="15.75" x14ac:dyDescent="0.25">
      <c r="A69" s="247">
        <v>61</v>
      </c>
      <c r="B69" s="555"/>
      <c r="C69" s="555"/>
      <c r="D69" s="553"/>
      <c r="E69" s="671"/>
      <c r="F69" s="553"/>
      <c r="G69" s="554"/>
      <c r="H69" s="247" t="str">
        <f>IFERROR(INDEX(Расценка!$1:$1048576,MATCH(D69,Расценка!$N:$N,0),MATCH($H$8,Расценка!$2:$2,0)),"-")</f>
        <v>-</v>
      </c>
      <c r="I69" s="247" t="str">
        <f>IFERROR(VLOOKUP($H69,Расценка!$S$10:$T$15,2,FALSE),"-")</f>
        <v>-</v>
      </c>
      <c r="J69" s="435"/>
      <c r="K69" s="129"/>
      <c r="L69" s="129"/>
      <c r="M69" s="129"/>
      <c r="N69" s="589" t="str">
        <f>IF(OR(L69=0,M69=0),"0,00",ROUNDDOWN(Расценка!$V$20*NETWORKDAYS.INTL(L69,M69,1,справочник!$V$2:$V$18),0))</f>
        <v>0,00</v>
      </c>
      <c r="O69" s="589">
        <f>IF(N69="0,00",0,'Трудозатраты членов ВТК'!F77)</f>
        <v>0</v>
      </c>
      <c r="P69" s="587"/>
      <c r="Q69" s="587"/>
      <c r="R69" s="663" t="str">
        <f>IF(OR(P69=0,Q69=0),"0,00",ROUNDDOWN(Расценка!$V$20*NETWORKDAYS.INTL(P69,Q69,1,справочник!$V$2:$V$18),0))</f>
        <v>0,00</v>
      </c>
      <c r="S69" s="663" t="str">
        <f>IF(OR(P69=0,Q69=0,N69="0,00"),"0,00",ROUNDDOWN(Расценка!$V$20*NETWORKDAYS.INTL(P69,Q69,1,справочник!$V$2:$V$18)*'Трудозатраты членов ВТК'!G77,0))</f>
        <v>0,00</v>
      </c>
      <c r="T69" s="663">
        <f>IF(L69="",'Трудозатраты членов ВТК'!F77,IF(OR(O69="0,00",S69="0,00"),0,'Трудозатраты членов ВТК'!F77-S69))</f>
        <v>0</v>
      </c>
      <c r="U69" s="652"/>
    </row>
    <row r="70" spans="1:21" ht="15.75" x14ac:dyDescent="0.25">
      <c r="A70" s="247">
        <v>62</v>
      </c>
      <c r="B70" s="555"/>
      <c r="C70" s="555"/>
      <c r="D70" s="553"/>
      <c r="E70" s="671"/>
      <c r="F70" s="553"/>
      <c r="G70" s="554"/>
      <c r="H70" s="247" t="str">
        <f>IFERROR(INDEX(Расценка!$1:$1048576,MATCH(D70,Расценка!$N:$N,0),MATCH($H$8,Расценка!$2:$2,0)),"-")</f>
        <v>-</v>
      </c>
      <c r="I70" s="247" t="str">
        <f>IFERROR(VLOOKUP($H70,Расценка!$S$10:$T$15,2,FALSE),"-")</f>
        <v>-</v>
      </c>
      <c r="J70" s="435"/>
      <c r="K70" s="129"/>
      <c r="L70" s="129"/>
      <c r="M70" s="129"/>
      <c r="N70" s="589" t="str">
        <f>IF(OR(L70=0,M70=0),"0,00",ROUNDDOWN(Расценка!$V$20*NETWORKDAYS.INTL(L70,M70,1,справочник!$V$2:$V$18),0))</f>
        <v>0,00</v>
      </c>
      <c r="O70" s="589">
        <f>IF(N70="0,00",0,'Трудозатраты членов ВТК'!F78)</f>
        <v>0</v>
      </c>
      <c r="P70" s="587"/>
      <c r="Q70" s="587"/>
      <c r="R70" s="663" t="str">
        <f>IF(OR(P70=0,Q70=0),"0,00",ROUNDDOWN(Расценка!$V$20*NETWORKDAYS.INTL(P70,Q70,1,справочник!$V$2:$V$18),0))</f>
        <v>0,00</v>
      </c>
      <c r="S70" s="663" t="str">
        <f>IF(OR(P70=0,Q70=0,N70="0,00"),"0,00",ROUNDDOWN(Расценка!$V$20*NETWORKDAYS.INTL(P70,Q70,1,справочник!$V$2:$V$18)*'Трудозатраты членов ВТК'!G78,0))</f>
        <v>0,00</v>
      </c>
      <c r="T70" s="663">
        <f>IF(L70="",'Трудозатраты членов ВТК'!F78,IF(OR(O70="0,00",S70="0,00"),0,'Трудозатраты членов ВТК'!F78-S70))</f>
        <v>0</v>
      </c>
      <c r="U70" s="652"/>
    </row>
    <row r="71" spans="1:21" ht="15.75" x14ac:dyDescent="0.25">
      <c r="A71" s="247">
        <v>63</v>
      </c>
      <c r="B71" s="555"/>
      <c r="C71" s="555"/>
      <c r="D71" s="553"/>
      <c r="E71" s="671"/>
      <c r="F71" s="553"/>
      <c r="G71" s="554"/>
      <c r="H71" s="247" t="str">
        <f>IFERROR(INDEX(Расценка!$1:$1048576,MATCH(D71,Расценка!$N:$N,0),MATCH($H$8,Расценка!$2:$2,0)),"-")</f>
        <v>-</v>
      </c>
      <c r="I71" s="247" t="str">
        <f>IFERROR(VLOOKUP($H71,Расценка!$S$10:$T$15,2,FALSE),"-")</f>
        <v>-</v>
      </c>
      <c r="J71" s="435"/>
      <c r="K71" s="129"/>
      <c r="L71" s="129"/>
      <c r="M71" s="129"/>
      <c r="N71" s="589" t="str">
        <f>IF(OR(L71=0,M71=0),"0,00",ROUNDDOWN(Расценка!$V$20*NETWORKDAYS.INTL(L71,M71,1,справочник!$V$2:$V$18),0))</f>
        <v>0,00</v>
      </c>
      <c r="O71" s="589">
        <f>IF(N71="0,00",0,'Трудозатраты членов ВТК'!F79)</f>
        <v>0</v>
      </c>
      <c r="P71" s="587"/>
      <c r="Q71" s="587"/>
      <c r="R71" s="663" t="str">
        <f>IF(OR(P71=0,Q71=0),"0,00",ROUNDDOWN(Расценка!$V$20*NETWORKDAYS.INTL(P71,Q71,1,справочник!$V$2:$V$18),0))</f>
        <v>0,00</v>
      </c>
      <c r="S71" s="663" t="str">
        <f>IF(OR(P71=0,Q71=0,N71="0,00"),"0,00",ROUNDDOWN(Расценка!$V$20*NETWORKDAYS.INTL(P71,Q71,1,справочник!$V$2:$V$18)*'Трудозатраты членов ВТК'!G79,0))</f>
        <v>0,00</v>
      </c>
      <c r="T71" s="663">
        <f>IF(L71="",'Трудозатраты членов ВТК'!F79,IF(OR(O71="0,00",S71="0,00"),0,'Трудозатраты членов ВТК'!F79-S71))</f>
        <v>0</v>
      </c>
      <c r="U71" s="652"/>
    </row>
    <row r="72" spans="1:21" ht="15.75" x14ac:dyDescent="0.25">
      <c r="A72" s="247">
        <v>64</v>
      </c>
      <c r="B72" s="555"/>
      <c r="C72" s="555"/>
      <c r="D72" s="553"/>
      <c r="E72" s="671"/>
      <c r="F72" s="553"/>
      <c r="G72" s="554"/>
      <c r="H72" s="247" t="str">
        <f>IFERROR(INDEX(Расценка!$1:$1048576,MATCH(D72,Расценка!$N:$N,0),MATCH($H$8,Расценка!$2:$2,0)),"-")</f>
        <v>-</v>
      </c>
      <c r="I72" s="247" t="str">
        <f>IFERROR(VLOOKUP($H72,Расценка!$S$10:$T$15,2,FALSE),"-")</f>
        <v>-</v>
      </c>
      <c r="J72" s="435"/>
      <c r="K72" s="129"/>
      <c r="L72" s="129"/>
      <c r="M72" s="129"/>
      <c r="N72" s="589" t="str">
        <f>IF(OR(L72=0,M72=0),"0,00",ROUNDDOWN(Расценка!$V$20*NETWORKDAYS.INTL(L72,M72,1,справочник!$V$2:$V$18),0))</f>
        <v>0,00</v>
      </c>
      <c r="O72" s="589">
        <f>IF(N72="0,00",0,'Трудозатраты членов ВТК'!F80)</f>
        <v>0</v>
      </c>
      <c r="P72" s="587"/>
      <c r="Q72" s="587"/>
      <c r="R72" s="663" t="str">
        <f>IF(OR(P72=0,Q72=0),"0,00",ROUNDDOWN(Расценка!$V$20*NETWORKDAYS.INTL(P72,Q72,1,справочник!$V$2:$V$18),0))</f>
        <v>0,00</v>
      </c>
      <c r="S72" s="663" t="str">
        <f>IF(OR(P72=0,Q72=0,N72="0,00"),"0,00",ROUNDDOWN(Расценка!$V$20*NETWORKDAYS.INTL(P72,Q72,1,справочник!$V$2:$V$18)*'Трудозатраты членов ВТК'!G80,0))</f>
        <v>0,00</v>
      </c>
      <c r="T72" s="663">
        <f>IF(L72="",'Трудозатраты членов ВТК'!F80,IF(OR(O72="0,00",S72="0,00"),0,'Трудозатраты членов ВТК'!F80-S72))</f>
        <v>0</v>
      </c>
      <c r="U72" s="652"/>
    </row>
    <row r="73" spans="1:21" ht="15.75" x14ac:dyDescent="0.25">
      <c r="A73" s="247">
        <v>65</v>
      </c>
      <c r="B73" s="555"/>
      <c r="C73" s="555"/>
      <c r="D73" s="553"/>
      <c r="E73" s="671"/>
      <c r="F73" s="553"/>
      <c r="G73" s="554"/>
      <c r="H73" s="247" t="str">
        <f>IFERROR(INDEX(Расценка!$1:$1048576,MATCH(D73,Расценка!$N:$N,0),MATCH($H$8,Расценка!$2:$2,0)),"-")</f>
        <v>-</v>
      </c>
      <c r="I73" s="247" t="str">
        <f>IFERROR(VLOOKUP($H73,Расценка!$S$10:$T$15,2,FALSE),"-")</f>
        <v>-</v>
      </c>
      <c r="J73" s="435"/>
      <c r="K73" s="129"/>
      <c r="L73" s="129"/>
      <c r="M73" s="129"/>
      <c r="N73" s="589" t="str">
        <f>IF(OR(L73=0,M73=0),"0,00",ROUNDDOWN(Расценка!$V$20*NETWORKDAYS.INTL(L73,M73,1,справочник!$V$2:$V$18),0))</f>
        <v>0,00</v>
      </c>
      <c r="O73" s="589">
        <f>IF(N73="0,00",0,'Трудозатраты членов ВТК'!F81)</f>
        <v>0</v>
      </c>
      <c r="P73" s="587"/>
      <c r="Q73" s="587"/>
      <c r="R73" s="663" t="str">
        <f>IF(OR(P73=0,Q73=0),"0,00",ROUNDDOWN(Расценка!$V$20*NETWORKDAYS.INTL(P73,Q73,1,справочник!$V$2:$V$18),0))</f>
        <v>0,00</v>
      </c>
      <c r="S73" s="663" t="str">
        <f>IF(OR(P73=0,Q73=0,N73="0,00"),"0,00",ROUNDDOWN(Расценка!$V$20*NETWORKDAYS.INTL(P73,Q73,1,справочник!$V$2:$V$18)*'Трудозатраты членов ВТК'!G81,0))</f>
        <v>0,00</v>
      </c>
      <c r="T73" s="663">
        <f>IF(L73="",'Трудозатраты членов ВТК'!F81,IF(OR(O73="0,00",S73="0,00"),0,'Трудозатраты членов ВТК'!F81-S73))</f>
        <v>0</v>
      </c>
      <c r="U73" s="652"/>
    </row>
    <row r="74" spans="1:21" ht="15.75" x14ac:dyDescent="0.25">
      <c r="A74" s="247">
        <v>66</v>
      </c>
      <c r="B74" s="555"/>
      <c r="C74" s="555"/>
      <c r="D74" s="553"/>
      <c r="E74" s="671"/>
      <c r="F74" s="553"/>
      <c r="G74" s="554"/>
      <c r="H74" s="247" t="str">
        <f>IFERROR(INDEX(Расценка!$1:$1048576,MATCH(D74,Расценка!$N:$N,0),MATCH($H$8,Расценка!$2:$2,0)),"-")</f>
        <v>-</v>
      </c>
      <c r="I74" s="247" t="str">
        <f>IFERROR(VLOOKUP($H74,Расценка!$S$10:$T$15,2,FALSE),"-")</f>
        <v>-</v>
      </c>
      <c r="J74" s="435"/>
      <c r="K74" s="129"/>
      <c r="L74" s="129"/>
      <c r="M74" s="129"/>
      <c r="N74" s="589" t="str">
        <f>IF(OR(L74=0,M74=0),"0,00",ROUNDDOWN(Расценка!$V$20*NETWORKDAYS.INTL(L74,M74,1,справочник!$V$2:$V$18),0))</f>
        <v>0,00</v>
      </c>
      <c r="O74" s="589">
        <f>IF(N74="0,00",0,'Трудозатраты членов ВТК'!F82)</f>
        <v>0</v>
      </c>
      <c r="P74" s="587"/>
      <c r="Q74" s="587"/>
      <c r="R74" s="663" t="str">
        <f>IF(OR(P74=0,Q74=0),"0,00",ROUNDDOWN(Расценка!$V$20*NETWORKDAYS.INTL(P74,Q74,1,справочник!$V$2:$V$18),0))</f>
        <v>0,00</v>
      </c>
      <c r="S74" s="663" t="str">
        <f>IF(OR(P74=0,Q74=0,N74="0,00"),"0,00",ROUNDDOWN(Расценка!$V$20*NETWORKDAYS.INTL(P74,Q74,1,справочник!$V$2:$V$18)*'Трудозатраты членов ВТК'!G82,0))</f>
        <v>0,00</v>
      </c>
      <c r="T74" s="663">
        <f>IF(L74="",'Трудозатраты членов ВТК'!F82,IF(OR(O74="0,00",S74="0,00"),0,'Трудозатраты членов ВТК'!F82-S74))</f>
        <v>0</v>
      </c>
      <c r="U74" s="652"/>
    </row>
    <row r="75" spans="1:21" ht="15.75" x14ac:dyDescent="0.25">
      <c r="A75" s="247">
        <v>67</v>
      </c>
      <c r="B75" s="555"/>
      <c r="C75" s="555"/>
      <c r="D75" s="553"/>
      <c r="E75" s="671"/>
      <c r="F75" s="553"/>
      <c r="G75" s="554"/>
      <c r="H75" s="247" t="str">
        <f>IFERROR(INDEX(Расценка!$1:$1048576,MATCH(D75,Расценка!$N:$N,0),MATCH($H$8,Расценка!$2:$2,0)),"-")</f>
        <v>-</v>
      </c>
      <c r="I75" s="247" t="str">
        <f>IFERROR(VLOOKUP($H75,Расценка!$S$10:$T$15,2,FALSE),"-")</f>
        <v>-</v>
      </c>
      <c r="J75" s="435"/>
      <c r="K75" s="129"/>
      <c r="L75" s="129"/>
      <c r="M75" s="129"/>
      <c r="N75" s="589" t="str">
        <f>IF(OR(L75=0,M75=0),"0,00",ROUNDDOWN(Расценка!$V$20*NETWORKDAYS.INTL(L75,M75,1,справочник!$V$2:$V$18),0))</f>
        <v>0,00</v>
      </c>
      <c r="O75" s="589">
        <f>IF(N75="0,00",0,'Трудозатраты членов ВТК'!F83)</f>
        <v>0</v>
      </c>
      <c r="P75" s="587"/>
      <c r="Q75" s="587"/>
      <c r="R75" s="663" t="str">
        <f>IF(OR(P75=0,Q75=0),"0,00",ROUNDDOWN(Расценка!$V$20*NETWORKDAYS.INTL(P75,Q75,1,справочник!$V$2:$V$18),0))</f>
        <v>0,00</v>
      </c>
      <c r="S75" s="663" t="str">
        <f>IF(OR(P75=0,Q75=0,N75="0,00"),"0,00",ROUNDDOWN(Расценка!$V$20*NETWORKDAYS.INTL(P75,Q75,1,справочник!$V$2:$V$18)*'Трудозатраты членов ВТК'!G83,0))</f>
        <v>0,00</v>
      </c>
      <c r="T75" s="663">
        <f>IF(L75="",'Трудозатраты членов ВТК'!F83,IF(OR(O75="0,00",S75="0,00"),0,'Трудозатраты членов ВТК'!F83-S75))</f>
        <v>0</v>
      </c>
      <c r="U75" s="652"/>
    </row>
    <row r="76" spans="1:21" ht="15.75" x14ac:dyDescent="0.25">
      <c r="A76" s="247">
        <v>68</v>
      </c>
      <c r="B76" s="555"/>
      <c r="C76" s="555"/>
      <c r="D76" s="553"/>
      <c r="E76" s="671"/>
      <c r="F76" s="553"/>
      <c r="G76" s="554"/>
      <c r="H76" s="247" t="str">
        <f>IFERROR(INDEX(Расценка!$1:$1048576,MATCH(D76,Расценка!$N:$N,0),MATCH($H$8,Расценка!$2:$2,0)),"-")</f>
        <v>-</v>
      </c>
      <c r="I76" s="247" t="str">
        <f>IFERROR(VLOOKUP($H76,Расценка!$S$10:$T$15,2,FALSE),"-")</f>
        <v>-</v>
      </c>
      <c r="J76" s="435"/>
      <c r="K76" s="129"/>
      <c r="L76" s="129"/>
      <c r="M76" s="129"/>
      <c r="N76" s="589" t="str">
        <f>IF(OR(L76=0,M76=0),"0,00",ROUNDDOWN(Расценка!$V$20*NETWORKDAYS.INTL(L76,M76,1,справочник!$V$2:$V$18),0))</f>
        <v>0,00</v>
      </c>
      <c r="O76" s="589">
        <f>IF(N76="0,00",0,'Трудозатраты членов ВТК'!F84)</f>
        <v>0</v>
      </c>
      <c r="P76" s="587"/>
      <c r="Q76" s="587"/>
      <c r="R76" s="663" t="str">
        <f>IF(OR(P76=0,Q76=0),"0,00",ROUNDDOWN(Расценка!$V$20*NETWORKDAYS.INTL(P76,Q76,1,справочник!$V$2:$V$18),0))</f>
        <v>0,00</v>
      </c>
      <c r="S76" s="663" t="str">
        <f>IF(OR(P76=0,Q76=0,N76="0,00"),"0,00",ROUNDDOWN(Расценка!$V$20*NETWORKDAYS.INTL(P76,Q76,1,справочник!$V$2:$V$18)*'Трудозатраты членов ВТК'!G84,0))</f>
        <v>0,00</v>
      </c>
      <c r="T76" s="663">
        <f>IF(L76="",'Трудозатраты членов ВТК'!F84,IF(OR(O76="0,00",S76="0,00"),0,'Трудозатраты членов ВТК'!F84-S76))</f>
        <v>0</v>
      </c>
      <c r="U76" s="652"/>
    </row>
    <row r="77" spans="1:21" ht="15.75" x14ac:dyDescent="0.25">
      <c r="A77" s="247">
        <v>69</v>
      </c>
      <c r="B77" s="555"/>
      <c r="C77" s="555"/>
      <c r="D77" s="553"/>
      <c r="E77" s="671"/>
      <c r="F77" s="553"/>
      <c r="G77" s="554"/>
      <c r="H77" s="247" t="str">
        <f>IFERROR(INDEX(Расценка!$1:$1048576,MATCH(D77,Расценка!$N:$N,0),MATCH($H$8,Расценка!$2:$2,0)),"-")</f>
        <v>-</v>
      </c>
      <c r="I77" s="247" t="str">
        <f>IFERROR(VLOOKUP($H77,Расценка!$S$10:$T$15,2,FALSE),"-")</f>
        <v>-</v>
      </c>
      <c r="J77" s="435"/>
      <c r="K77" s="129"/>
      <c r="L77" s="129"/>
      <c r="M77" s="129"/>
      <c r="N77" s="589" t="str">
        <f>IF(OR(L77=0,M77=0),"0,00",ROUNDDOWN(Расценка!$V$20*NETWORKDAYS.INTL(L77,M77,1,справочник!$V$2:$V$18),0))</f>
        <v>0,00</v>
      </c>
      <c r="O77" s="589">
        <f>IF(N77="0,00",0,'Трудозатраты членов ВТК'!F85)</f>
        <v>0</v>
      </c>
      <c r="P77" s="587"/>
      <c r="Q77" s="587"/>
      <c r="R77" s="663" t="str">
        <f>IF(OR(P77=0,Q77=0),"0,00",ROUNDDOWN(Расценка!$V$20*NETWORKDAYS.INTL(P77,Q77,1,справочник!$V$2:$V$18),0))</f>
        <v>0,00</v>
      </c>
      <c r="S77" s="663" t="str">
        <f>IF(OR(P77=0,Q77=0,N77="0,00"),"0,00",ROUNDDOWN(Расценка!$V$20*NETWORKDAYS.INTL(P77,Q77,1,справочник!$V$2:$V$18)*'Трудозатраты членов ВТК'!G85,0))</f>
        <v>0,00</v>
      </c>
      <c r="T77" s="663">
        <f>IF(L77="",'Трудозатраты членов ВТК'!F85,IF(OR(O77="0,00",S77="0,00"),0,'Трудозатраты членов ВТК'!F85-S77))</f>
        <v>0</v>
      </c>
      <c r="U77" s="652"/>
    </row>
    <row r="78" spans="1:21" ht="15.75" x14ac:dyDescent="0.25">
      <c r="A78" s="247">
        <v>70</v>
      </c>
      <c r="B78" s="555"/>
      <c r="C78" s="555"/>
      <c r="D78" s="553"/>
      <c r="E78" s="671"/>
      <c r="F78" s="553"/>
      <c r="G78" s="554"/>
      <c r="H78" s="247" t="str">
        <f>IFERROR(INDEX(Расценка!$1:$1048576,MATCH(D78,Расценка!$N:$N,0),MATCH($H$8,Расценка!$2:$2,0)),"-")</f>
        <v>-</v>
      </c>
      <c r="I78" s="247" t="str">
        <f>IFERROR(VLOOKUP($H78,Расценка!$S$10:$T$15,2,FALSE),"-")</f>
        <v>-</v>
      </c>
      <c r="J78" s="435"/>
      <c r="K78" s="129"/>
      <c r="L78" s="129"/>
      <c r="M78" s="129"/>
      <c r="N78" s="589" t="str">
        <f>IF(OR(L78=0,M78=0),"0,00",ROUNDDOWN(Расценка!$V$20*NETWORKDAYS.INTL(L78,M78,1,справочник!$V$2:$V$18),0))</f>
        <v>0,00</v>
      </c>
      <c r="O78" s="589">
        <f>IF(N78="0,00",0,'Трудозатраты членов ВТК'!F86)</f>
        <v>0</v>
      </c>
      <c r="P78" s="587"/>
      <c r="Q78" s="587"/>
      <c r="R78" s="663" t="str">
        <f>IF(OR(P78=0,Q78=0),"0,00",ROUNDDOWN(Расценка!$V$20*NETWORKDAYS.INTL(P78,Q78,1,справочник!$V$2:$V$18),0))</f>
        <v>0,00</v>
      </c>
      <c r="S78" s="663" t="str">
        <f>IF(OR(P78=0,Q78=0,N78="0,00"),"0,00",ROUNDDOWN(Расценка!$V$20*NETWORKDAYS.INTL(P78,Q78,1,справочник!$V$2:$V$18)*'Трудозатраты членов ВТК'!G86,0))</f>
        <v>0,00</v>
      </c>
      <c r="T78" s="663">
        <f>IF(L78="",'Трудозатраты членов ВТК'!F86,IF(OR(O78="0,00",S78="0,00"),0,'Трудозатраты членов ВТК'!F86-S78))</f>
        <v>0</v>
      </c>
      <c r="U78" s="652"/>
    </row>
    <row r="79" spans="1:21" ht="15.75" x14ac:dyDescent="0.25">
      <c r="A79" s="247">
        <v>71</v>
      </c>
      <c r="B79" s="555"/>
      <c r="C79" s="555"/>
      <c r="D79" s="553"/>
      <c r="E79" s="671"/>
      <c r="F79" s="553"/>
      <c r="G79" s="554"/>
      <c r="H79" s="247" t="str">
        <f>IFERROR(INDEX(Расценка!$1:$1048576,MATCH(D79,Расценка!$N:$N,0),MATCH($H$8,Расценка!$2:$2,0)),"-")</f>
        <v>-</v>
      </c>
      <c r="I79" s="247" t="str">
        <f>IFERROR(VLOOKUP($H79,Расценка!$S$10:$T$15,2,FALSE),"-")</f>
        <v>-</v>
      </c>
      <c r="J79" s="435"/>
      <c r="K79" s="129"/>
      <c r="L79" s="129"/>
      <c r="M79" s="129"/>
      <c r="N79" s="589" t="str">
        <f>IF(OR(L79=0,M79=0),"0,00",ROUNDDOWN(Расценка!$V$20*NETWORKDAYS.INTL(L79,M79,1,справочник!$V$2:$V$18),0))</f>
        <v>0,00</v>
      </c>
      <c r="O79" s="589">
        <f>IF(N79="0,00",0,'Трудозатраты членов ВТК'!F87)</f>
        <v>0</v>
      </c>
      <c r="P79" s="587"/>
      <c r="Q79" s="587"/>
      <c r="R79" s="663" t="str">
        <f>IF(OR(P79=0,Q79=0),"0,00",ROUNDDOWN(Расценка!$V$20*NETWORKDAYS.INTL(P79,Q79,1,справочник!$V$2:$V$18),0))</f>
        <v>0,00</v>
      </c>
      <c r="S79" s="663" t="str">
        <f>IF(OR(P79=0,Q79=0,N79="0,00"),"0,00",ROUNDDOWN(Расценка!$V$20*NETWORKDAYS.INTL(P79,Q79,1,справочник!$V$2:$V$18)*'Трудозатраты членов ВТК'!G87,0))</f>
        <v>0,00</v>
      </c>
      <c r="T79" s="663">
        <f>IF(L79="",'Трудозатраты членов ВТК'!F87,IF(OR(O79="0,00",S79="0,00"),0,'Трудозатраты членов ВТК'!F87-S79))</f>
        <v>0</v>
      </c>
      <c r="U79" s="652"/>
    </row>
    <row r="80" spans="1:21" ht="15.75" x14ac:dyDescent="0.25">
      <c r="A80" s="247">
        <v>72</v>
      </c>
      <c r="B80" s="555"/>
      <c r="C80" s="555"/>
      <c r="D80" s="553"/>
      <c r="E80" s="671" t="str">
        <f>IFERROR(VLOOKUP($D80,Расценка!$N$3:$P$443,3,FALSE),"-")</f>
        <v>-</v>
      </c>
      <c r="F80" s="553"/>
      <c r="G80" s="554"/>
      <c r="H80" s="247" t="str">
        <f>IFERROR(INDEX(Расценка!$1:$1048576,MATCH(D80,Расценка!$N:$N,0),MATCH($H$8,Расценка!$2:$2,0)),"-")</f>
        <v>-</v>
      </c>
      <c r="I80" s="247" t="str">
        <f>IFERROR(VLOOKUP($H80,Расценка!$S$10:$T$15,2,FALSE),"-")</f>
        <v>-</v>
      </c>
      <c r="J80" s="435"/>
      <c r="K80" s="129"/>
      <c r="L80" s="129"/>
      <c r="M80" s="129"/>
      <c r="N80" s="589" t="str">
        <f>IF(OR(L80=0,M80=0),"0,00",ROUNDDOWN(Расценка!$V$20*NETWORKDAYS.INTL(L80,M80,1,справочник!$V$2:$V$18),0))</f>
        <v>0,00</v>
      </c>
      <c r="O80" s="589">
        <f>IF(N80="0,00",0,'Трудозатраты членов ВТК'!F88)</f>
        <v>0</v>
      </c>
      <c r="P80" s="587"/>
      <c r="Q80" s="587"/>
      <c r="R80" s="663" t="str">
        <f>IF(OR(P80=0,Q80=0),"0,00",ROUNDDOWN(Расценка!$V$20*NETWORKDAYS.INTL(P80,Q80,1,справочник!$V$2:$V$18),0))</f>
        <v>0,00</v>
      </c>
      <c r="S80" s="663" t="str">
        <f>IF(OR(P80=0,Q80=0,N80="0,00"),"0,00",ROUNDDOWN(Расценка!$V$20*NETWORKDAYS.INTL(P80,Q80,1,справочник!$V$2:$V$18)*'Трудозатраты членов ВТК'!G88,0))</f>
        <v>0,00</v>
      </c>
      <c r="T80" s="663">
        <f>IF(L80="",'Трудозатраты членов ВТК'!F88,IF(OR(O80="0,00",S80="0,00"),0,'Трудозатраты членов ВТК'!F88-S80))</f>
        <v>0</v>
      </c>
      <c r="U80" s="652"/>
    </row>
    <row r="81" spans="1:21" ht="15.75" x14ac:dyDescent="0.25">
      <c r="A81" s="247">
        <v>73</v>
      </c>
      <c r="B81" s="555"/>
      <c r="C81" s="555"/>
      <c r="D81" s="553"/>
      <c r="E81" s="671" t="str">
        <f>IFERROR(VLOOKUP($D81,Расценка!$N$3:$P$443,3,FALSE),"-")</f>
        <v>-</v>
      </c>
      <c r="F81" s="553"/>
      <c r="G81" s="554"/>
      <c r="H81" s="247" t="str">
        <f>IFERROR(INDEX(Расценка!$1:$1048576,MATCH(D81,Расценка!$N:$N,0),MATCH($H$8,Расценка!$2:$2,0)),"-")</f>
        <v>-</v>
      </c>
      <c r="I81" s="247" t="str">
        <f>IFERROR(VLOOKUP($H81,Расценка!$S$10:$T$15,2,FALSE),"-")</f>
        <v>-</v>
      </c>
      <c r="J81" s="435"/>
      <c r="K81" s="129"/>
      <c r="L81" s="129"/>
      <c r="M81" s="129"/>
      <c r="N81" s="589" t="str">
        <f>IF(OR(L81=0,M81=0),"0,00",ROUNDDOWN(Расценка!$V$20*NETWORKDAYS.INTL(L81,M81,1,справочник!$V$2:$V$18),0))</f>
        <v>0,00</v>
      </c>
      <c r="O81" s="589">
        <f>IF(N81="0,00",0,'Трудозатраты членов ВТК'!F89)</f>
        <v>0</v>
      </c>
      <c r="P81" s="587"/>
      <c r="Q81" s="587"/>
      <c r="R81" s="663" t="str">
        <f>IF(OR(P81=0,Q81=0),"0,00",ROUNDDOWN(Расценка!$V$20*NETWORKDAYS.INTL(P81,Q81,1,справочник!$V$2:$V$18),0))</f>
        <v>0,00</v>
      </c>
      <c r="S81" s="663" t="str">
        <f>IF(OR(P81=0,Q81=0,N81="0,00"),"0,00",ROUNDDOWN(Расценка!$V$20*NETWORKDAYS.INTL(P81,Q81,1,справочник!$V$2:$V$18)*'Трудозатраты членов ВТК'!G89,0))</f>
        <v>0,00</v>
      </c>
      <c r="T81" s="663">
        <f>IF(L81="",'Трудозатраты членов ВТК'!F89,IF(OR(O81="0,00",S81="0,00"),0,'Трудозатраты членов ВТК'!F89-S81))</f>
        <v>0</v>
      </c>
      <c r="U81" s="652"/>
    </row>
    <row r="82" spans="1:21" ht="15.75" x14ac:dyDescent="0.25">
      <c r="A82" s="247">
        <v>74</v>
      </c>
      <c r="B82" s="555"/>
      <c r="C82" s="555"/>
      <c r="D82" s="553"/>
      <c r="E82" s="671" t="str">
        <f>IFERROR(VLOOKUP($D82,Расценка!$N$3:$P$443,3,FALSE),"-")</f>
        <v>-</v>
      </c>
      <c r="F82" s="553"/>
      <c r="G82" s="554"/>
      <c r="H82" s="247" t="str">
        <f>IFERROR(INDEX(Расценка!$1:$1048576,MATCH(D82,Расценка!$N:$N,0),MATCH($H$8,Расценка!$2:$2,0)),"-")</f>
        <v>-</v>
      </c>
      <c r="I82" s="247" t="str">
        <f>IFERROR(VLOOKUP($H82,Расценка!$S$10:$T$15,2,FALSE),"-")</f>
        <v>-</v>
      </c>
      <c r="J82" s="435"/>
      <c r="K82" s="129"/>
      <c r="L82" s="129"/>
      <c r="M82" s="129"/>
      <c r="N82" s="589" t="str">
        <f>IF(OR(L82=0,M82=0),"0,00",ROUNDDOWN(Расценка!$V$20*NETWORKDAYS.INTL(L82,M82,1,справочник!$V$2:$V$18),0))</f>
        <v>0,00</v>
      </c>
      <c r="O82" s="589">
        <f>IF(N82="0,00",0,'Трудозатраты членов ВТК'!F90)</f>
        <v>0</v>
      </c>
      <c r="P82" s="587"/>
      <c r="Q82" s="587"/>
      <c r="R82" s="663" t="str">
        <f>IF(OR(P82=0,Q82=0),"0,00",ROUNDDOWN(Расценка!$V$20*NETWORKDAYS.INTL(P82,Q82,1,справочник!$V$2:$V$18),0))</f>
        <v>0,00</v>
      </c>
      <c r="S82" s="663" t="str">
        <f>IF(OR(P82=0,Q82=0,N82="0,00"),"0,00",ROUNDDOWN(Расценка!$V$20*NETWORKDAYS.INTL(P82,Q82,1,справочник!$V$2:$V$18)*'Трудозатраты членов ВТК'!G90,0))</f>
        <v>0,00</v>
      </c>
      <c r="T82" s="663">
        <f>IF(L82="",'Трудозатраты членов ВТК'!F90,IF(OR(O82="0,00",S82="0,00"),0,'Трудозатраты членов ВТК'!F90-S82))</f>
        <v>0</v>
      </c>
      <c r="U82" s="652"/>
    </row>
    <row r="83" spans="1:21" ht="15.75" x14ac:dyDescent="0.25">
      <c r="A83" s="247">
        <v>75</v>
      </c>
      <c r="B83" s="555"/>
      <c r="C83" s="555"/>
      <c r="D83" s="553"/>
      <c r="E83" s="671" t="str">
        <f>IFERROR(VLOOKUP($D83,Расценка!$N$3:$P$443,3,FALSE),"-")</f>
        <v>-</v>
      </c>
      <c r="F83" s="553"/>
      <c r="G83" s="554"/>
      <c r="H83" s="247" t="str">
        <f>IFERROR(INDEX(Расценка!$1:$1048576,MATCH(D83,Расценка!$N:$N,0),MATCH($H$8,Расценка!$2:$2,0)),"-")</f>
        <v>-</v>
      </c>
      <c r="I83" s="247" t="str">
        <f>IFERROR(VLOOKUP($H83,Расценка!$S$10:$T$15,2,FALSE),"-")</f>
        <v>-</v>
      </c>
      <c r="J83" s="435"/>
      <c r="K83" s="129"/>
      <c r="L83" s="129"/>
      <c r="M83" s="129"/>
      <c r="N83" s="589" t="str">
        <f>IF(OR(L83=0,M83=0),"0,00",ROUNDDOWN(Расценка!$V$20*NETWORKDAYS.INTL(L83,M83,1,справочник!$V$2:$V$18),0))</f>
        <v>0,00</v>
      </c>
      <c r="O83" s="589">
        <f>IF(N83="0,00",0,'Трудозатраты членов ВТК'!F91)</f>
        <v>0</v>
      </c>
      <c r="P83" s="587"/>
      <c r="Q83" s="587"/>
      <c r="R83" s="663" t="str">
        <f>IF(OR(P83=0,Q83=0),"0,00",ROUNDDOWN(Расценка!$V$20*NETWORKDAYS.INTL(P83,Q83,1,справочник!$V$2:$V$18),0))</f>
        <v>0,00</v>
      </c>
      <c r="S83" s="663" t="str">
        <f>IF(OR(P83=0,Q83=0,N83="0,00"),"0,00",ROUNDDOWN(Расценка!$V$20*NETWORKDAYS.INTL(P83,Q83,1,справочник!$V$2:$V$18)*'Трудозатраты членов ВТК'!G91,0))</f>
        <v>0,00</v>
      </c>
      <c r="T83" s="663">
        <f>IF(L83="",'Трудозатраты членов ВТК'!F91,IF(OR(O83="0,00",S83="0,00"),0,'Трудозатраты членов ВТК'!F91-S83))</f>
        <v>0</v>
      </c>
      <c r="U83" s="652"/>
    </row>
    <row r="84" spans="1:21" ht="15.75" x14ac:dyDescent="0.25">
      <c r="A84" s="247">
        <v>76</v>
      </c>
      <c r="B84" s="555"/>
      <c r="C84" s="555"/>
      <c r="D84" s="553"/>
      <c r="E84" s="671" t="str">
        <f>IFERROR(VLOOKUP($D84,Расценка!$N$3:$P$443,3,FALSE),"-")</f>
        <v>-</v>
      </c>
      <c r="F84" s="553"/>
      <c r="G84" s="554"/>
      <c r="H84" s="247" t="str">
        <f>IFERROR(INDEX(Расценка!$1:$1048576,MATCH(D84,Расценка!$N:$N,0),MATCH($H$8,Расценка!$2:$2,0)),"-")</f>
        <v>-</v>
      </c>
      <c r="I84" s="247" t="str">
        <f>IFERROR(VLOOKUP($H84,Расценка!$S$10:$T$15,2,FALSE),"-")</f>
        <v>-</v>
      </c>
      <c r="J84" s="435"/>
      <c r="K84" s="129"/>
      <c r="L84" s="129"/>
      <c r="M84" s="129"/>
      <c r="N84" s="589" t="str">
        <f>IF(OR(L84=0,M84=0),"0,00",ROUNDDOWN(Расценка!$V$20*NETWORKDAYS.INTL(L84,M84,1,справочник!$V$2:$V$18),0))</f>
        <v>0,00</v>
      </c>
      <c r="O84" s="589">
        <f>IF(N84="0,00",0,'Трудозатраты членов ВТК'!F92)</f>
        <v>0</v>
      </c>
      <c r="P84" s="587"/>
      <c r="Q84" s="587"/>
      <c r="R84" s="663" t="str">
        <f>IF(OR(P84=0,Q84=0),"0,00",ROUNDDOWN(Расценка!$V$20*NETWORKDAYS.INTL(P84,Q84,1,справочник!$V$2:$V$18),0))</f>
        <v>0,00</v>
      </c>
      <c r="S84" s="663" t="str">
        <f>IF(OR(P84=0,Q84=0,N84="0,00"),"0,00",ROUNDDOWN(Расценка!$V$20*NETWORKDAYS.INTL(P84,Q84,1,справочник!$V$2:$V$18)*'Трудозатраты членов ВТК'!G92,0))</f>
        <v>0,00</v>
      </c>
      <c r="T84" s="663">
        <f>IF(L84="",'Трудозатраты членов ВТК'!F92,IF(OR(O84="0,00",S84="0,00"),0,'Трудозатраты членов ВТК'!F92-S84))</f>
        <v>0</v>
      </c>
      <c r="U84" s="652"/>
    </row>
    <row r="85" spans="1:21" ht="15.75" x14ac:dyDescent="0.25">
      <c r="A85" s="247">
        <v>77</v>
      </c>
      <c r="B85" s="555"/>
      <c r="C85" s="555"/>
      <c r="D85" s="553"/>
      <c r="E85" s="671" t="str">
        <f>IFERROR(VLOOKUP($D85,Расценка!$N$3:$P$443,3,FALSE),"-")</f>
        <v>-</v>
      </c>
      <c r="F85" s="553"/>
      <c r="G85" s="554"/>
      <c r="H85" s="247" t="str">
        <f>IFERROR(INDEX(Расценка!$1:$1048576,MATCH(D85,Расценка!$N:$N,0),MATCH($H$8,Расценка!$2:$2,0)),"-")</f>
        <v>-</v>
      </c>
      <c r="I85" s="247" t="str">
        <f>IFERROR(VLOOKUP($H85,Расценка!$S$10:$T$15,2,FALSE),"-")</f>
        <v>-</v>
      </c>
      <c r="J85" s="435"/>
      <c r="K85" s="129"/>
      <c r="L85" s="129"/>
      <c r="M85" s="129"/>
      <c r="N85" s="589" t="str">
        <f>IF(OR(L85=0,M85=0),"0,00",ROUNDDOWN(Расценка!$V$20*NETWORKDAYS.INTL(L85,M85,1,справочник!$V$2:$V$18),0))</f>
        <v>0,00</v>
      </c>
      <c r="O85" s="589">
        <f>IF(N85="0,00",0,'Трудозатраты членов ВТК'!F93)</f>
        <v>0</v>
      </c>
      <c r="P85" s="587"/>
      <c r="Q85" s="587"/>
      <c r="R85" s="663" t="str">
        <f>IF(OR(P85=0,Q85=0),"0,00",ROUNDDOWN(Расценка!$V$20*NETWORKDAYS.INTL(P85,Q85,1,справочник!$V$2:$V$18),0))</f>
        <v>0,00</v>
      </c>
      <c r="S85" s="663" t="str">
        <f>IF(OR(P85=0,Q85=0,N85="0,00"),"0,00",ROUNDDOWN(Расценка!$V$20*NETWORKDAYS.INTL(P85,Q85,1,справочник!$V$2:$V$18)*'Трудозатраты членов ВТК'!G93,0))</f>
        <v>0,00</v>
      </c>
      <c r="T85" s="663">
        <f>IF(L85="",'Трудозатраты членов ВТК'!F93,IF(OR(O85="0,00",S85="0,00"),0,'Трудозатраты членов ВТК'!F93-S85))</f>
        <v>0</v>
      </c>
      <c r="U85" s="652"/>
    </row>
    <row r="86" spans="1:21" ht="15.75" x14ac:dyDescent="0.25">
      <c r="A86" s="247">
        <v>78</v>
      </c>
      <c r="B86" s="555"/>
      <c r="C86" s="555"/>
      <c r="D86" s="553"/>
      <c r="E86" s="671" t="str">
        <f>IFERROR(VLOOKUP($D86,Расценка!$N$3:$P$443,3,FALSE),"-")</f>
        <v>-</v>
      </c>
      <c r="F86" s="553"/>
      <c r="G86" s="554"/>
      <c r="H86" s="247" t="str">
        <f>IFERROR(INDEX(Расценка!$1:$1048576,MATCH(D86,Расценка!$N:$N,0),MATCH($H$8,Расценка!$2:$2,0)),"-")</f>
        <v>-</v>
      </c>
      <c r="I86" s="247" t="str">
        <f>IFERROR(VLOOKUP($H86,Расценка!$S$10:$T$15,2,FALSE),"-")</f>
        <v>-</v>
      </c>
      <c r="J86" s="435"/>
      <c r="K86" s="129"/>
      <c r="L86" s="129"/>
      <c r="M86" s="129"/>
      <c r="N86" s="589" t="str">
        <f>IF(OR(L86=0,M86=0),"0,00",ROUNDDOWN(Расценка!$V$20*NETWORKDAYS.INTL(L86,M86,1,справочник!$V$2:$V$18),0))</f>
        <v>0,00</v>
      </c>
      <c r="O86" s="589">
        <f>IF(N86="0,00",0,'Трудозатраты членов ВТК'!F94)</f>
        <v>0</v>
      </c>
      <c r="P86" s="587"/>
      <c r="Q86" s="587"/>
      <c r="R86" s="663" t="str">
        <f>IF(OR(P86=0,Q86=0),"0,00",ROUNDDOWN(Расценка!$V$20*NETWORKDAYS.INTL(P86,Q86,1,справочник!$V$2:$V$18),0))</f>
        <v>0,00</v>
      </c>
      <c r="S86" s="663" t="str">
        <f>IF(OR(P86=0,Q86=0,N86="0,00"),"0,00",ROUNDDOWN(Расценка!$V$20*NETWORKDAYS.INTL(P86,Q86,1,справочник!$V$2:$V$18)*'Трудозатраты членов ВТК'!G94,0))</f>
        <v>0,00</v>
      </c>
      <c r="T86" s="663">
        <f>IF(L86="",'Трудозатраты членов ВТК'!F94,IF(OR(O86="0,00",S86="0,00"),0,'Трудозатраты членов ВТК'!F94-S86))</f>
        <v>0</v>
      </c>
      <c r="U86" s="652"/>
    </row>
    <row r="87" spans="1:21" ht="15.75" x14ac:dyDescent="0.25">
      <c r="A87" s="247">
        <v>79</v>
      </c>
      <c r="B87" s="555"/>
      <c r="C87" s="555"/>
      <c r="D87" s="553"/>
      <c r="E87" s="671" t="str">
        <f>IFERROR(VLOOKUP($D87,Расценка!$N$3:$P$443,3,FALSE),"-")</f>
        <v>-</v>
      </c>
      <c r="F87" s="553"/>
      <c r="G87" s="554"/>
      <c r="H87" s="247" t="str">
        <f>IFERROR(INDEX(Расценка!$1:$1048576,MATCH(D87,Расценка!$N:$N,0),MATCH($H$8,Расценка!$2:$2,0)),"-")</f>
        <v>-</v>
      </c>
      <c r="I87" s="247" t="str">
        <f>IFERROR(VLOOKUP($H87,Расценка!$S$10:$T$15,2,FALSE),"-")</f>
        <v>-</v>
      </c>
      <c r="J87" s="435"/>
      <c r="K87" s="129"/>
      <c r="L87" s="129"/>
      <c r="M87" s="129"/>
      <c r="N87" s="589" t="str">
        <f>IF(OR(L87=0,M87=0),"0,00",ROUNDDOWN(Расценка!$V$20*NETWORKDAYS.INTL(L87,M87,1,справочник!$V$2:$V$18),0))</f>
        <v>0,00</v>
      </c>
      <c r="O87" s="589">
        <f>IF(N87="0,00",0,'Трудозатраты членов ВТК'!F95)</f>
        <v>0</v>
      </c>
      <c r="P87" s="587"/>
      <c r="Q87" s="587"/>
      <c r="R87" s="663" t="str">
        <f>IF(OR(P87=0,Q87=0),"0,00",ROUNDDOWN(Расценка!$V$20*NETWORKDAYS.INTL(P87,Q87,1,справочник!$V$2:$V$18),0))</f>
        <v>0,00</v>
      </c>
      <c r="S87" s="663" t="str">
        <f>IF(OR(P87=0,Q87=0,N87="0,00"),"0,00",ROUNDDOWN(Расценка!$V$20*NETWORKDAYS.INTL(P87,Q87,1,справочник!$V$2:$V$18)*'Трудозатраты членов ВТК'!G95,0))</f>
        <v>0,00</v>
      </c>
      <c r="T87" s="663">
        <f>IF(L87="",'Трудозатраты членов ВТК'!F95,IF(OR(O87="0,00",S87="0,00"),0,'Трудозатраты членов ВТК'!F95-S87))</f>
        <v>0</v>
      </c>
      <c r="U87" s="652"/>
    </row>
    <row r="88" spans="1:21" ht="15.75" x14ac:dyDescent="0.25">
      <c r="A88" s="247">
        <v>80</v>
      </c>
      <c r="B88" s="555"/>
      <c r="C88" s="555"/>
      <c r="D88" s="553"/>
      <c r="E88" s="671" t="str">
        <f>IFERROR(VLOOKUP($D88,Расценка!$N$3:$P$443,3,FALSE),"-")</f>
        <v>-</v>
      </c>
      <c r="F88" s="553"/>
      <c r="G88" s="554"/>
      <c r="H88" s="247" t="str">
        <f>IFERROR(INDEX(Расценка!$1:$1048576,MATCH(D88,Расценка!$N:$N,0),MATCH($H$8,Расценка!$2:$2,0)),"-")</f>
        <v>-</v>
      </c>
      <c r="I88" s="247" t="str">
        <f>IFERROR(VLOOKUP($H88,Расценка!$S$10:$T$15,2,FALSE),"-")</f>
        <v>-</v>
      </c>
      <c r="J88" s="435"/>
      <c r="K88" s="129"/>
      <c r="L88" s="129"/>
      <c r="M88" s="129"/>
      <c r="N88" s="589" t="str">
        <f>IF(OR(L88=0,M88=0),"0,00",ROUNDDOWN(Расценка!$V$20*NETWORKDAYS.INTL(L88,M88,1,справочник!$V$2:$V$18),0))</f>
        <v>0,00</v>
      </c>
      <c r="O88" s="589">
        <f>IF(N88="0,00",0,'Трудозатраты членов ВТК'!F96)</f>
        <v>0</v>
      </c>
      <c r="P88" s="587"/>
      <c r="Q88" s="587"/>
      <c r="R88" s="663" t="str">
        <f>IF(OR(P88=0,Q88=0),"0,00",ROUNDDOWN(Расценка!$V$20*NETWORKDAYS.INTL(P88,Q88,1,справочник!$V$2:$V$18),0))</f>
        <v>0,00</v>
      </c>
      <c r="S88" s="663" t="str">
        <f>IF(OR(P88=0,Q88=0,N88="0,00"),"0,00",ROUNDDOWN(Расценка!$V$20*NETWORKDAYS.INTL(P88,Q88,1,справочник!$V$2:$V$18)*'Трудозатраты членов ВТК'!G96,0))</f>
        <v>0,00</v>
      </c>
      <c r="T88" s="663">
        <f>IF(L88="",'Трудозатраты членов ВТК'!F96,IF(OR(O88="0,00",S88="0,00"),0,'Трудозатраты членов ВТК'!F96-S88))</f>
        <v>0</v>
      </c>
      <c r="U88" s="652"/>
    </row>
    <row r="89" spans="1:21" ht="15.75" x14ac:dyDescent="0.25">
      <c r="A89" s="247">
        <v>81</v>
      </c>
      <c r="B89" s="555"/>
      <c r="C89" s="555"/>
      <c r="D89" s="553"/>
      <c r="E89" s="671" t="str">
        <f>IFERROR(VLOOKUP($D89,Расценка!$N$3:$P$443,3,FALSE),"-")</f>
        <v>-</v>
      </c>
      <c r="F89" s="553"/>
      <c r="G89" s="554"/>
      <c r="H89" s="247" t="str">
        <f>IFERROR(INDEX(Расценка!$1:$1048576,MATCH(D89,Расценка!$N:$N,0),MATCH($H$8,Расценка!$2:$2,0)),"-")</f>
        <v>-</v>
      </c>
      <c r="I89" s="247" t="str">
        <f>IFERROR(VLOOKUP($H89,Расценка!$S$10:$T$15,2,FALSE),"-")</f>
        <v>-</v>
      </c>
      <c r="J89" s="435"/>
      <c r="K89" s="129"/>
      <c r="L89" s="129"/>
      <c r="M89" s="129"/>
      <c r="N89" s="589" t="str">
        <f>IF(OR(L89=0,M89=0),"0,00",ROUNDDOWN(Расценка!$V$20*NETWORKDAYS.INTL(L89,M89,1,справочник!$V$2:$V$18),0))</f>
        <v>0,00</v>
      </c>
      <c r="O89" s="589">
        <f>IF(N89="0,00",0,'Трудозатраты членов ВТК'!F97)</f>
        <v>0</v>
      </c>
      <c r="P89" s="587"/>
      <c r="Q89" s="587"/>
      <c r="R89" s="663" t="str">
        <f>IF(OR(P89=0,Q89=0),"0,00",ROUNDDOWN(Расценка!$V$20*NETWORKDAYS.INTL(P89,Q89,1,справочник!$V$2:$V$18),0))</f>
        <v>0,00</v>
      </c>
      <c r="S89" s="663" t="str">
        <f>IF(OR(P89=0,Q89=0,N89="0,00"),"0,00",ROUNDDOWN(Расценка!$V$20*NETWORKDAYS.INTL(P89,Q89,1,справочник!$V$2:$V$18)*'Трудозатраты членов ВТК'!G97,0))</f>
        <v>0,00</v>
      </c>
      <c r="T89" s="663">
        <f>IF(L89="",'Трудозатраты членов ВТК'!F97,IF(OR(O89="0,00",S89="0,00"),0,'Трудозатраты членов ВТК'!F97-S89))</f>
        <v>0</v>
      </c>
      <c r="U89" s="652"/>
    </row>
    <row r="90" spans="1:21" ht="15.75" x14ac:dyDescent="0.25">
      <c r="A90" s="247">
        <v>82</v>
      </c>
      <c r="B90" s="555"/>
      <c r="C90" s="555"/>
      <c r="D90" s="553"/>
      <c r="E90" s="671" t="str">
        <f>IFERROR(VLOOKUP($D90,Расценка!$N$3:$P$443,3,FALSE),"-")</f>
        <v>-</v>
      </c>
      <c r="F90" s="553"/>
      <c r="G90" s="554"/>
      <c r="H90" s="247" t="str">
        <f>IFERROR(INDEX(Расценка!$1:$1048576,MATCH(D90,Расценка!$N:$N,0),MATCH($H$8,Расценка!$2:$2,0)),"-")</f>
        <v>-</v>
      </c>
      <c r="I90" s="247" t="str">
        <f>IFERROR(VLOOKUP($H90,Расценка!$S$10:$T$15,2,FALSE),"-")</f>
        <v>-</v>
      </c>
      <c r="J90" s="435"/>
      <c r="K90" s="129"/>
      <c r="L90" s="129"/>
      <c r="M90" s="129"/>
      <c r="N90" s="589" t="str">
        <f>IF(OR(L90=0,M90=0),"0,00",ROUNDDOWN(Расценка!$V$20*NETWORKDAYS.INTL(L90,M90,1,справочник!$V$2:$V$18),0))</f>
        <v>0,00</v>
      </c>
      <c r="O90" s="589">
        <f>IF(N90="0,00",0,'Трудозатраты членов ВТК'!F98)</f>
        <v>0</v>
      </c>
      <c r="P90" s="587"/>
      <c r="Q90" s="587"/>
      <c r="R90" s="663" t="str">
        <f>IF(OR(P90=0,Q90=0),"0,00",ROUNDDOWN(Расценка!$V$20*NETWORKDAYS.INTL(P90,Q90,1,справочник!$V$2:$V$18),0))</f>
        <v>0,00</v>
      </c>
      <c r="S90" s="663" t="str">
        <f>IF(OR(P90=0,Q90=0,N90="0,00"),"0,00",ROUNDDOWN(Расценка!$V$20*NETWORKDAYS.INTL(P90,Q90,1,справочник!$V$2:$V$18)*'Трудозатраты членов ВТК'!G98,0))</f>
        <v>0,00</v>
      </c>
      <c r="T90" s="663">
        <f>IF(L90="",'Трудозатраты членов ВТК'!F98,IF(OR(O90="0,00",S90="0,00"),0,'Трудозатраты членов ВТК'!F98-S90))</f>
        <v>0</v>
      </c>
      <c r="U90" s="652"/>
    </row>
    <row r="91" spans="1:21" ht="15.75" x14ac:dyDescent="0.25">
      <c r="A91" s="247">
        <v>83</v>
      </c>
      <c r="B91" s="555"/>
      <c r="C91" s="555"/>
      <c r="D91" s="553"/>
      <c r="E91" s="671" t="str">
        <f>IFERROR(VLOOKUP($D91,Расценка!$N$3:$P$443,3,FALSE),"-")</f>
        <v>-</v>
      </c>
      <c r="F91" s="553"/>
      <c r="G91" s="554"/>
      <c r="H91" s="247" t="str">
        <f>IFERROR(INDEX(Расценка!$1:$1048576,MATCH(D91,Расценка!$N:$N,0),MATCH($H$8,Расценка!$2:$2,0)),"-")</f>
        <v>-</v>
      </c>
      <c r="I91" s="247" t="str">
        <f>IFERROR(VLOOKUP($H91,Расценка!$S$10:$T$15,2,FALSE),"-")</f>
        <v>-</v>
      </c>
      <c r="J91" s="435"/>
      <c r="K91" s="129"/>
      <c r="L91" s="129"/>
      <c r="M91" s="129"/>
      <c r="N91" s="589" t="str">
        <f>IF(OR(L91=0,M91=0),"0,00",ROUNDDOWN(Расценка!$V$20*NETWORKDAYS.INTL(L91,M91,1,справочник!$V$2:$V$18),0))</f>
        <v>0,00</v>
      </c>
      <c r="O91" s="589">
        <f>IF(N91="0,00",0,'Трудозатраты членов ВТК'!F99)</f>
        <v>0</v>
      </c>
      <c r="P91" s="587"/>
      <c r="Q91" s="587"/>
      <c r="R91" s="663" t="str">
        <f>IF(OR(P91=0,Q91=0),"0,00",ROUNDDOWN(Расценка!$V$20*NETWORKDAYS.INTL(P91,Q91,1,справочник!$V$2:$V$18),0))</f>
        <v>0,00</v>
      </c>
      <c r="S91" s="663" t="str">
        <f>IF(OR(P91=0,Q91=0,N91="0,00"),"0,00",ROUNDDOWN(Расценка!$V$20*NETWORKDAYS.INTL(P91,Q91,1,справочник!$V$2:$V$18)*'Трудозатраты членов ВТК'!G99,0))</f>
        <v>0,00</v>
      </c>
      <c r="T91" s="663">
        <f>IF(L91="",'Трудозатраты членов ВТК'!F99,IF(OR(O91="0,00",S91="0,00"),0,'Трудозатраты членов ВТК'!F99-S91))</f>
        <v>0</v>
      </c>
      <c r="U91" s="652"/>
    </row>
    <row r="92" spans="1:21" ht="15.75" x14ac:dyDescent="0.25">
      <c r="A92" s="247">
        <v>84</v>
      </c>
      <c r="B92" s="555"/>
      <c r="C92" s="555"/>
      <c r="D92" s="553"/>
      <c r="E92" s="671" t="str">
        <f>IFERROR(VLOOKUP($D92,Расценка!$N$3:$P$443,3,FALSE),"-")</f>
        <v>-</v>
      </c>
      <c r="F92" s="553"/>
      <c r="G92" s="554"/>
      <c r="H92" s="247" t="str">
        <f>IFERROR(INDEX(Расценка!$1:$1048576,MATCH(D92,Расценка!$N:$N,0),MATCH($H$8,Расценка!$2:$2,0)),"-")</f>
        <v>-</v>
      </c>
      <c r="I92" s="247" t="str">
        <f>IFERROR(VLOOKUP($H92,Расценка!$S$10:$T$15,2,FALSE),"-")</f>
        <v>-</v>
      </c>
      <c r="J92" s="435"/>
      <c r="K92" s="129"/>
      <c r="L92" s="129"/>
      <c r="M92" s="129"/>
      <c r="N92" s="589" t="str">
        <f>IF(OR(L92=0,M92=0),"0,00",ROUNDDOWN(Расценка!$V$20*NETWORKDAYS.INTL(L92,M92,1,справочник!$V$2:$V$18),0))</f>
        <v>0,00</v>
      </c>
      <c r="O92" s="589">
        <f>IF(N92="0,00",0,'Трудозатраты членов ВТК'!F100)</f>
        <v>0</v>
      </c>
      <c r="P92" s="587"/>
      <c r="Q92" s="587"/>
      <c r="R92" s="663" t="str">
        <f>IF(OR(P92=0,Q92=0),"0,00",ROUNDDOWN(Расценка!$V$20*NETWORKDAYS.INTL(P92,Q92,1,справочник!$V$2:$V$18),0))</f>
        <v>0,00</v>
      </c>
      <c r="S92" s="663" t="str">
        <f>IF(OR(P92=0,Q92=0,N92="0,00"),"0,00",ROUNDDOWN(Расценка!$V$20*NETWORKDAYS.INTL(P92,Q92,1,справочник!$V$2:$V$18)*'Трудозатраты членов ВТК'!G100,0))</f>
        <v>0,00</v>
      </c>
      <c r="T92" s="663">
        <f>IF(L92="",'Трудозатраты членов ВТК'!F100,IF(OR(O92="0,00",S92="0,00"),0,'Трудозатраты членов ВТК'!F100-S92))</f>
        <v>0</v>
      </c>
      <c r="U92" s="652"/>
    </row>
    <row r="93" spans="1:21" ht="15.75" x14ac:dyDescent="0.25">
      <c r="A93" s="247">
        <v>85</v>
      </c>
      <c r="B93" s="555"/>
      <c r="C93" s="555"/>
      <c r="D93" s="553"/>
      <c r="E93" s="671" t="str">
        <f>IFERROR(VLOOKUP($D93,Расценка!$N$3:$P$443,3,FALSE),"-")</f>
        <v>-</v>
      </c>
      <c r="F93" s="553"/>
      <c r="G93" s="554"/>
      <c r="H93" s="247" t="str">
        <f>IFERROR(INDEX(Расценка!$1:$1048576,MATCH(D93,Расценка!$N:$N,0),MATCH($H$8,Расценка!$2:$2,0)),"-")</f>
        <v>-</v>
      </c>
      <c r="I93" s="247" t="str">
        <f>IFERROR(VLOOKUP($H93,Расценка!$S$10:$T$15,2,FALSE),"-")</f>
        <v>-</v>
      </c>
      <c r="J93" s="435"/>
      <c r="K93" s="129"/>
      <c r="L93" s="129"/>
      <c r="M93" s="129"/>
      <c r="N93" s="589" t="str">
        <f>IF(OR(L93=0,M93=0),"0,00",ROUNDDOWN(Расценка!$V$20*NETWORKDAYS.INTL(L93,M93,1,справочник!$V$2:$V$18),0))</f>
        <v>0,00</v>
      </c>
      <c r="O93" s="589">
        <f>IF(N93="0,00",0,'Трудозатраты членов ВТК'!F101)</f>
        <v>0</v>
      </c>
      <c r="P93" s="587"/>
      <c r="Q93" s="587"/>
      <c r="R93" s="663" t="str">
        <f>IF(OR(P93=0,Q93=0),"0,00",ROUNDDOWN(Расценка!$V$20*NETWORKDAYS.INTL(P93,Q93,1,справочник!$V$2:$V$18),0))</f>
        <v>0,00</v>
      </c>
      <c r="S93" s="663" t="str">
        <f>IF(OR(P93=0,Q93=0,N93="0,00"),"0,00",ROUNDDOWN(Расценка!$V$20*NETWORKDAYS.INTL(P93,Q93,1,справочник!$V$2:$V$18)*'Трудозатраты членов ВТК'!G101,0))</f>
        <v>0,00</v>
      </c>
      <c r="T93" s="663">
        <f>IF(L93="",'Трудозатраты членов ВТК'!F101,IF(OR(O93="0,00",S93="0,00"),0,'Трудозатраты членов ВТК'!F101-S93))</f>
        <v>0</v>
      </c>
      <c r="U93" s="652"/>
    </row>
    <row r="94" spans="1:21" ht="15.75" x14ac:dyDescent="0.25">
      <c r="A94" s="247">
        <v>86</v>
      </c>
      <c r="B94" s="555"/>
      <c r="C94" s="555"/>
      <c r="D94" s="553"/>
      <c r="E94" s="671" t="str">
        <f>IFERROR(VLOOKUP($D94,Расценка!$N$3:$P$443,3,FALSE),"-")</f>
        <v>-</v>
      </c>
      <c r="F94" s="553"/>
      <c r="G94" s="554"/>
      <c r="H94" s="247" t="str">
        <f>IFERROR(INDEX(Расценка!$1:$1048576,MATCH(D94,Расценка!$N:$N,0),MATCH($H$8,Расценка!$2:$2,0)),"-")</f>
        <v>-</v>
      </c>
      <c r="I94" s="247" t="str">
        <f>IFERROR(VLOOKUP($H94,Расценка!$S$10:$T$15,2,FALSE),"-")</f>
        <v>-</v>
      </c>
      <c r="J94" s="435"/>
      <c r="K94" s="129"/>
      <c r="L94" s="129"/>
      <c r="M94" s="129"/>
      <c r="N94" s="589" t="str">
        <f>IF(OR(L94=0,M94=0),"0,00",ROUNDDOWN(Расценка!$V$20*NETWORKDAYS.INTL(L94,M94,1,справочник!$V$2:$V$18),0))</f>
        <v>0,00</v>
      </c>
      <c r="O94" s="589">
        <f>IF(N94="0,00",0,'Трудозатраты членов ВТК'!F102)</f>
        <v>0</v>
      </c>
      <c r="P94" s="587"/>
      <c r="Q94" s="587"/>
      <c r="R94" s="663" t="str">
        <f>IF(OR(P94=0,Q94=0),"0,00",ROUNDDOWN(Расценка!$V$20*NETWORKDAYS.INTL(P94,Q94,1,справочник!$V$2:$V$18),0))</f>
        <v>0,00</v>
      </c>
      <c r="S94" s="663" t="str">
        <f>IF(OR(P94=0,Q94=0,N94="0,00"),"0,00",ROUNDDOWN(Расценка!$V$20*NETWORKDAYS.INTL(P94,Q94,1,справочник!$V$2:$V$18)*'Трудозатраты членов ВТК'!G102,0))</f>
        <v>0,00</v>
      </c>
      <c r="T94" s="663">
        <f>IF(L94="",'Трудозатраты членов ВТК'!F102,IF(OR(O94="0,00",S94="0,00"),0,'Трудозатраты членов ВТК'!F102-S94))</f>
        <v>0</v>
      </c>
      <c r="U94" s="652"/>
    </row>
    <row r="95" spans="1:21" ht="15.75" x14ac:dyDescent="0.25">
      <c r="A95" s="247">
        <v>87</v>
      </c>
      <c r="B95" s="555"/>
      <c r="C95" s="555"/>
      <c r="D95" s="553"/>
      <c r="E95" s="671" t="str">
        <f>IFERROR(VLOOKUP($D95,Расценка!$N$3:$P$443,3,FALSE),"-")</f>
        <v>-</v>
      </c>
      <c r="F95" s="553"/>
      <c r="G95" s="554"/>
      <c r="H95" s="247" t="str">
        <f>IFERROR(INDEX(Расценка!$1:$1048576,MATCH(D95,Расценка!$N:$N,0),MATCH($H$8,Расценка!$2:$2,0)),"-")</f>
        <v>-</v>
      </c>
      <c r="I95" s="247" t="str">
        <f>IFERROR(VLOOKUP($H95,Расценка!$S$10:$T$15,2,FALSE),"-")</f>
        <v>-</v>
      </c>
      <c r="J95" s="435"/>
      <c r="K95" s="129"/>
      <c r="L95" s="129"/>
      <c r="M95" s="129"/>
      <c r="N95" s="589" t="str">
        <f>IF(OR(L95=0,M95=0),"0,00",ROUNDDOWN(Расценка!$V$20*NETWORKDAYS.INTL(L95,M95,1,справочник!$V$2:$V$18),0))</f>
        <v>0,00</v>
      </c>
      <c r="O95" s="589">
        <f>IF(N95="0,00",0,'Трудозатраты членов ВТК'!F103)</f>
        <v>0</v>
      </c>
      <c r="P95" s="587"/>
      <c r="Q95" s="587"/>
      <c r="R95" s="663" t="str">
        <f>IF(OR(P95=0,Q95=0),"0,00",ROUNDDOWN(Расценка!$V$20*NETWORKDAYS.INTL(P95,Q95,1,справочник!$V$2:$V$18),0))</f>
        <v>0,00</v>
      </c>
      <c r="S95" s="663" t="str">
        <f>IF(OR(P95=0,Q95=0,N95="0,00"),"0,00",ROUNDDOWN(Расценка!$V$20*NETWORKDAYS.INTL(P95,Q95,1,справочник!$V$2:$V$18)*'Трудозатраты членов ВТК'!G103,0))</f>
        <v>0,00</v>
      </c>
      <c r="T95" s="663">
        <f>IF(L95="",'Трудозатраты членов ВТК'!F103,IF(OR(O95="0,00",S95="0,00"),0,'Трудозатраты членов ВТК'!F103-S95))</f>
        <v>0</v>
      </c>
      <c r="U95" s="652"/>
    </row>
    <row r="96" spans="1:21" ht="15.75" x14ac:dyDescent="0.25">
      <c r="A96" s="247">
        <v>88</v>
      </c>
      <c r="B96" s="555"/>
      <c r="C96" s="555"/>
      <c r="D96" s="553"/>
      <c r="E96" s="671" t="str">
        <f>IFERROR(VLOOKUP($D96,Расценка!$N$3:$P$443,3,FALSE),"-")</f>
        <v>-</v>
      </c>
      <c r="F96" s="553"/>
      <c r="G96" s="554"/>
      <c r="H96" s="247" t="str">
        <f>IFERROR(INDEX(Расценка!$1:$1048576,MATCH(D96,Расценка!$N:$N,0),MATCH($H$8,Расценка!$2:$2,0)),"-")</f>
        <v>-</v>
      </c>
      <c r="I96" s="247" t="str">
        <f>IFERROR(VLOOKUP($H96,Расценка!$S$10:$T$15,2,FALSE),"-")</f>
        <v>-</v>
      </c>
      <c r="J96" s="435"/>
      <c r="K96" s="129"/>
      <c r="L96" s="129"/>
      <c r="M96" s="129"/>
      <c r="N96" s="589" t="str">
        <f>IF(OR(L96=0,M96=0),"0,00",ROUNDDOWN(Расценка!$V$20*NETWORKDAYS.INTL(L96,M96,1,справочник!$V$2:$V$18),0))</f>
        <v>0,00</v>
      </c>
      <c r="O96" s="589">
        <f>IF(N96="0,00",0,'Трудозатраты членов ВТК'!F104)</f>
        <v>0</v>
      </c>
      <c r="P96" s="587"/>
      <c r="Q96" s="587"/>
      <c r="R96" s="663" t="str">
        <f>IF(OR(P96=0,Q96=0),"0,00",ROUNDDOWN(Расценка!$V$20*NETWORKDAYS.INTL(P96,Q96,1,справочник!$V$2:$V$18),0))</f>
        <v>0,00</v>
      </c>
      <c r="S96" s="663" t="str">
        <f>IF(OR(P96=0,Q96=0,N96="0,00"),"0,00",ROUNDDOWN(Расценка!$V$20*NETWORKDAYS.INTL(P96,Q96,1,справочник!$V$2:$V$18)*'Трудозатраты членов ВТК'!G104,0))</f>
        <v>0,00</v>
      </c>
      <c r="T96" s="663">
        <f>IF(L96="",'Трудозатраты членов ВТК'!F104,IF(OR(O96="0,00",S96="0,00"),0,'Трудозатраты членов ВТК'!F104-S96))</f>
        <v>0</v>
      </c>
      <c r="U96" s="652"/>
    </row>
    <row r="97" spans="1:21" ht="15.75" x14ac:dyDescent="0.25">
      <c r="A97" s="247">
        <v>89</v>
      </c>
      <c r="B97" s="555"/>
      <c r="C97" s="555"/>
      <c r="D97" s="553"/>
      <c r="E97" s="671" t="str">
        <f>IFERROR(VLOOKUP($D97,Расценка!$N$3:$P$443,3,FALSE),"-")</f>
        <v>-</v>
      </c>
      <c r="F97" s="553"/>
      <c r="G97" s="554"/>
      <c r="H97" s="247" t="str">
        <f>IFERROR(INDEX(Расценка!$1:$1048576,MATCH(D97,Расценка!$N:$N,0),MATCH($H$8,Расценка!$2:$2,0)),"-")</f>
        <v>-</v>
      </c>
      <c r="I97" s="247" t="str">
        <f>IFERROR(VLOOKUP($H97,Расценка!$S$10:$T$15,2,FALSE),"-")</f>
        <v>-</v>
      </c>
      <c r="J97" s="435"/>
      <c r="K97" s="129"/>
      <c r="L97" s="129"/>
      <c r="M97" s="129"/>
      <c r="N97" s="589" t="str">
        <f>IF(OR(L97=0,M97=0),"0,00",ROUNDDOWN(Расценка!$V$20*NETWORKDAYS.INTL(L97,M97,1,справочник!$V$2:$V$18),0))</f>
        <v>0,00</v>
      </c>
      <c r="O97" s="589">
        <f>IF(N97="0,00",0,'Трудозатраты членов ВТК'!F105)</f>
        <v>0</v>
      </c>
      <c r="P97" s="587"/>
      <c r="Q97" s="587"/>
      <c r="R97" s="663" t="str">
        <f>IF(OR(P97=0,Q97=0),"0,00",ROUNDDOWN(Расценка!$V$20*NETWORKDAYS.INTL(P97,Q97,1,справочник!$V$2:$V$18),0))</f>
        <v>0,00</v>
      </c>
      <c r="S97" s="663" t="str">
        <f>IF(OR(P97=0,Q97=0,N97="0,00"),"0,00",ROUNDDOWN(Расценка!$V$20*NETWORKDAYS.INTL(P97,Q97,1,справочник!$V$2:$V$18)*'Трудозатраты членов ВТК'!G105,0))</f>
        <v>0,00</v>
      </c>
      <c r="T97" s="663">
        <f>IF(L97="",'Трудозатраты членов ВТК'!F105,IF(OR(O97="0,00",S97="0,00"),0,'Трудозатраты членов ВТК'!F105-S97))</f>
        <v>0</v>
      </c>
      <c r="U97" s="652"/>
    </row>
    <row r="98" spans="1:21" ht="15.75" x14ac:dyDescent="0.25">
      <c r="A98" s="247">
        <v>90</v>
      </c>
      <c r="B98" s="555"/>
      <c r="C98" s="555"/>
      <c r="D98" s="553"/>
      <c r="E98" s="671" t="str">
        <f>IFERROR(VLOOKUP($D98,Расценка!$N$3:$P$443,3,FALSE),"-")</f>
        <v>-</v>
      </c>
      <c r="F98" s="553"/>
      <c r="G98" s="554"/>
      <c r="H98" s="247" t="str">
        <f>IFERROR(INDEX(Расценка!$1:$1048576,MATCH(D98,Расценка!$N:$N,0),MATCH($H$8,Расценка!$2:$2,0)),"-")</f>
        <v>-</v>
      </c>
      <c r="I98" s="247" t="str">
        <f>IFERROR(VLOOKUP($H98,Расценка!$S$10:$T$15,2,FALSE),"-")</f>
        <v>-</v>
      </c>
      <c r="J98" s="435"/>
      <c r="K98" s="129"/>
      <c r="L98" s="129"/>
      <c r="M98" s="129"/>
      <c r="N98" s="589" t="str">
        <f>IF(OR(L98=0,M98=0),"0,00",ROUNDDOWN(Расценка!$V$20*NETWORKDAYS.INTL(L98,M98,1,справочник!$V$2:$V$18),0))</f>
        <v>0,00</v>
      </c>
      <c r="O98" s="589">
        <f>IF(N98="0,00",0,'Трудозатраты членов ВТК'!F106)</f>
        <v>0</v>
      </c>
      <c r="P98" s="587"/>
      <c r="Q98" s="587"/>
      <c r="R98" s="663" t="str">
        <f>IF(OR(P98=0,Q98=0),"0,00",ROUNDDOWN(Расценка!$V$20*NETWORKDAYS.INTL(P98,Q98,1,справочник!$V$2:$V$18),0))</f>
        <v>0,00</v>
      </c>
      <c r="S98" s="663" t="str">
        <f>IF(OR(P98=0,Q98=0,N98="0,00"),"0,00",ROUNDDOWN(Расценка!$V$20*NETWORKDAYS.INTL(P98,Q98,1,справочник!$V$2:$V$18)*'Трудозатраты членов ВТК'!G106,0))</f>
        <v>0,00</v>
      </c>
      <c r="T98" s="663">
        <f>IF(L98="",'Трудозатраты членов ВТК'!F106,IF(OR(O98="0,00",S98="0,00"),0,'Трудозатраты членов ВТК'!F106-S98))</f>
        <v>0</v>
      </c>
      <c r="U98" s="652"/>
    </row>
    <row r="99" spans="1:21" ht="15.75" x14ac:dyDescent="0.25">
      <c r="A99" s="247">
        <v>91</v>
      </c>
      <c r="B99" s="555"/>
      <c r="C99" s="555"/>
      <c r="D99" s="553"/>
      <c r="E99" s="671" t="str">
        <f>IFERROR(VLOOKUP($D99,Расценка!$N$3:$P$443,3,FALSE),"-")</f>
        <v>-</v>
      </c>
      <c r="F99" s="553"/>
      <c r="G99" s="554"/>
      <c r="H99" s="247" t="str">
        <f>IFERROR(INDEX(Расценка!$1:$1048576,MATCH(D99,Расценка!$N:$N,0),MATCH($H$8,Расценка!$2:$2,0)),"-")</f>
        <v>-</v>
      </c>
      <c r="I99" s="247" t="str">
        <f>IFERROR(VLOOKUP($H99,Расценка!$S$10:$T$15,2,FALSE),"-")</f>
        <v>-</v>
      </c>
      <c r="J99" s="435"/>
      <c r="K99" s="129"/>
      <c r="L99" s="129"/>
      <c r="M99" s="129"/>
      <c r="N99" s="589" t="str">
        <f>IF(OR(L99=0,M99=0),"0,00",ROUNDDOWN(Расценка!$V$20*NETWORKDAYS.INTL(L99,M99,1,справочник!$V$2:$V$18),0))</f>
        <v>0,00</v>
      </c>
      <c r="O99" s="589">
        <f>IF(N99="0,00",0,'Трудозатраты членов ВТК'!F107)</f>
        <v>0</v>
      </c>
      <c r="P99" s="587"/>
      <c r="Q99" s="587"/>
      <c r="R99" s="663" t="str">
        <f>IF(OR(P99=0,Q99=0),"0,00",ROUNDDOWN(Расценка!$V$20*NETWORKDAYS.INTL(P99,Q99,1,справочник!$V$2:$V$18),0))</f>
        <v>0,00</v>
      </c>
      <c r="S99" s="663" t="str">
        <f>IF(OR(P99=0,Q99=0,N99="0,00"),"0,00",ROUNDDOWN(Расценка!$V$20*NETWORKDAYS.INTL(P99,Q99,1,справочник!$V$2:$V$18)*'Трудозатраты членов ВТК'!G107,0))</f>
        <v>0,00</v>
      </c>
      <c r="T99" s="663">
        <f>IF(L99="",'Трудозатраты членов ВТК'!F107,IF(OR(O99="0,00",S99="0,00"),0,'Трудозатраты членов ВТК'!F107-S99))</f>
        <v>0</v>
      </c>
      <c r="U99" s="652"/>
    </row>
    <row r="100" spans="1:21" ht="15.75" x14ac:dyDescent="0.25">
      <c r="A100" s="247">
        <v>92</v>
      </c>
      <c r="B100" s="555"/>
      <c r="C100" s="555"/>
      <c r="D100" s="553"/>
      <c r="E100" s="671" t="str">
        <f>IFERROR(VLOOKUP($D100,Расценка!$N$3:$P$443,3,FALSE),"-")</f>
        <v>-</v>
      </c>
      <c r="F100" s="553"/>
      <c r="G100" s="554"/>
      <c r="H100" s="247" t="str">
        <f>IFERROR(INDEX(Расценка!$1:$1048576,MATCH(D100,Расценка!$N:$N,0),MATCH($H$8,Расценка!$2:$2,0)),"-")</f>
        <v>-</v>
      </c>
      <c r="I100" s="247" t="str">
        <f>IFERROR(VLOOKUP($H100,Расценка!$S$10:$T$15,2,FALSE),"-")</f>
        <v>-</v>
      </c>
      <c r="J100" s="435"/>
      <c r="K100" s="129"/>
      <c r="L100" s="129"/>
      <c r="M100" s="129"/>
      <c r="N100" s="589" t="str">
        <f>IF(OR(L100=0,M100=0),"0,00",ROUNDDOWN(Расценка!$V$20*NETWORKDAYS.INTL(L100,M100,1,справочник!$V$2:$V$18),0))</f>
        <v>0,00</v>
      </c>
      <c r="O100" s="589">
        <f>IF(N100="0,00",0,'Трудозатраты членов ВТК'!F108)</f>
        <v>0</v>
      </c>
      <c r="P100" s="587"/>
      <c r="Q100" s="587"/>
      <c r="R100" s="663" t="str">
        <f>IF(OR(P100=0,Q100=0),"0,00",ROUNDDOWN(Расценка!$V$20*NETWORKDAYS.INTL(P100,Q100,1,справочник!$V$2:$V$18),0))</f>
        <v>0,00</v>
      </c>
      <c r="S100" s="663" t="str">
        <f>IF(OR(P100=0,Q100=0,N100="0,00"),"0,00",ROUNDDOWN(Расценка!$V$20*NETWORKDAYS.INTL(P100,Q100,1,справочник!$V$2:$V$18)*'Трудозатраты членов ВТК'!G108,0))</f>
        <v>0,00</v>
      </c>
      <c r="T100" s="663">
        <f>IF(L100="",'Трудозатраты членов ВТК'!F108,IF(OR(O100="0,00",S100="0,00"),0,'Трудозатраты членов ВТК'!F108-S100))</f>
        <v>0</v>
      </c>
      <c r="U100" s="652"/>
    </row>
    <row r="101" spans="1:21" ht="15.75" x14ac:dyDescent="0.25">
      <c r="A101" s="247">
        <v>93</v>
      </c>
      <c r="B101" s="555"/>
      <c r="C101" s="555"/>
      <c r="D101" s="553"/>
      <c r="E101" s="671" t="str">
        <f>IFERROR(VLOOKUP($D101,Расценка!$N$3:$P$443,3,FALSE),"-")</f>
        <v>-</v>
      </c>
      <c r="F101" s="553"/>
      <c r="G101" s="554"/>
      <c r="H101" s="247" t="str">
        <f>IFERROR(INDEX(Расценка!$1:$1048576,MATCH(D101,Расценка!$N:$N,0),MATCH($H$8,Расценка!$2:$2,0)),"-")</f>
        <v>-</v>
      </c>
      <c r="I101" s="247" t="str">
        <f>IFERROR(VLOOKUP($H101,Расценка!$S$10:$T$15,2,FALSE),"-")</f>
        <v>-</v>
      </c>
      <c r="J101" s="435"/>
      <c r="K101" s="129"/>
      <c r="L101" s="129"/>
      <c r="M101" s="129"/>
      <c r="N101" s="589" t="str">
        <f>IF(OR(L101=0,M101=0),"0,00",ROUNDDOWN(Расценка!$V$20*NETWORKDAYS.INTL(L101,M101,1,справочник!$V$2:$V$18),0))</f>
        <v>0,00</v>
      </c>
      <c r="O101" s="589">
        <f>IF(N101="0,00",0,'Трудозатраты членов ВТК'!F109)</f>
        <v>0</v>
      </c>
      <c r="P101" s="587"/>
      <c r="Q101" s="587"/>
      <c r="R101" s="663" t="str">
        <f>IF(OR(P101=0,Q101=0),"0,00",ROUNDDOWN(Расценка!$V$20*NETWORKDAYS.INTL(P101,Q101,1,справочник!$V$2:$V$18),0))</f>
        <v>0,00</v>
      </c>
      <c r="S101" s="663" t="str">
        <f>IF(OR(P101=0,Q101=0,N101="0,00"),"0,00",ROUNDDOWN(Расценка!$V$20*NETWORKDAYS.INTL(P101,Q101,1,справочник!$V$2:$V$18)*'Трудозатраты членов ВТК'!G109,0))</f>
        <v>0,00</v>
      </c>
      <c r="T101" s="663">
        <f>IF(L101="",'Трудозатраты членов ВТК'!F109,IF(OR(O101="0,00",S101="0,00"),0,'Трудозатраты членов ВТК'!F109-S101))</f>
        <v>0</v>
      </c>
      <c r="U101" s="652"/>
    </row>
    <row r="102" spans="1:21" ht="15.75" x14ac:dyDescent="0.25">
      <c r="A102" s="247">
        <v>94</v>
      </c>
      <c r="B102" s="555"/>
      <c r="C102" s="555"/>
      <c r="D102" s="553"/>
      <c r="E102" s="671" t="str">
        <f>IFERROR(VLOOKUP($D102,Расценка!$N$3:$P$443,3,FALSE),"-")</f>
        <v>-</v>
      </c>
      <c r="F102" s="553"/>
      <c r="G102" s="554"/>
      <c r="H102" s="247" t="str">
        <f>IFERROR(INDEX(Расценка!$1:$1048576,MATCH(D102,Расценка!$N:$N,0),MATCH($H$8,Расценка!$2:$2,0)),"-")</f>
        <v>-</v>
      </c>
      <c r="I102" s="247" t="str">
        <f>IFERROR(VLOOKUP($H102,Расценка!$S$10:$T$15,2,FALSE),"-")</f>
        <v>-</v>
      </c>
      <c r="J102" s="435"/>
      <c r="K102" s="129"/>
      <c r="L102" s="129"/>
      <c r="M102" s="129"/>
      <c r="N102" s="589" t="str">
        <f>IF(OR(L102=0,M102=0),"0,00",ROUNDDOWN(Расценка!$V$20*NETWORKDAYS.INTL(L102,M102,1,справочник!$V$2:$V$18),0))</f>
        <v>0,00</v>
      </c>
      <c r="O102" s="589">
        <f>IF(N102="0,00",0,'Трудозатраты членов ВТК'!F110)</f>
        <v>0</v>
      </c>
      <c r="P102" s="587"/>
      <c r="Q102" s="587"/>
      <c r="R102" s="663" t="str">
        <f>IF(OR(P102=0,Q102=0),"0,00",ROUNDDOWN(Расценка!$V$20*NETWORKDAYS.INTL(P102,Q102,1,справочник!$V$2:$V$18),0))</f>
        <v>0,00</v>
      </c>
      <c r="S102" s="663" t="str">
        <f>IF(OR(P102=0,Q102=0,N102="0,00"),"0,00",ROUNDDOWN(Расценка!$V$20*NETWORKDAYS.INTL(P102,Q102,1,справочник!$V$2:$V$18)*'Трудозатраты членов ВТК'!G110,0))</f>
        <v>0,00</v>
      </c>
      <c r="T102" s="663">
        <f>IF(L102="",'Трудозатраты членов ВТК'!F110,IF(OR(O102="0,00",S102="0,00"),0,'Трудозатраты членов ВТК'!F110-S102))</f>
        <v>0</v>
      </c>
      <c r="U102" s="652"/>
    </row>
    <row r="103" spans="1:21" ht="15.75" x14ac:dyDescent="0.25">
      <c r="A103" s="247">
        <v>95</v>
      </c>
      <c r="B103" s="555"/>
      <c r="C103" s="555"/>
      <c r="D103" s="553"/>
      <c r="E103" s="671" t="str">
        <f>IFERROR(VLOOKUP($D103,Расценка!$N$3:$P$443,3,FALSE),"-")</f>
        <v>-</v>
      </c>
      <c r="F103" s="553"/>
      <c r="G103" s="554"/>
      <c r="H103" s="247" t="str">
        <f>IFERROR(INDEX(Расценка!$1:$1048576,MATCH(D103,Расценка!$N:$N,0),MATCH($H$8,Расценка!$2:$2,0)),"-")</f>
        <v>-</v>
      </c>
      <c r="I103" s="247" t="str">
        <f>IFERROR(VLOOKUP($H103,Расценка!$S$10:$T$15,2,FALSE),"-")</f>
        <v>-</v>
      </c>
      <c r="J103" s="435"/>
      <c r="K103" s="129"/>
      <c r="L103" s="129"/>
      <c r="M103" s="129"/>
      <c r="N103" s="589" t="str">
        <f>IF(OR(L103=0,M103=0),"0,00",ROUNDDOWN(Расценка!$V$20*NETWORKDAYS.INTL(L103,M103,1,справочник!$V$2:$V$18),0))</f>
        <v>0,00</v>
      </c>
      <c r="O103" s="589">
        <f>IF(N103="0,00",0,'Трудозатраты членов ВТК'!F111)</f>
        <v>0</v>
      </c>
      <c r="P103" s="587"/>
      <c r="Q103" s="587"/>
      <c r="R103" s="663" t="str">
        <f>IF(OR(P103=0,Q103=0),"0,00",ROUNDDOWN(Расценка!$V$20*NETWORKDAYS.INTL(P103,Q103,1,справочник!$V$2:$V$18),0))</f>
        <v>0,00</v>
      </c>
      <c r="S103" s="663" t="str">
        <f>IF(OR(P103=0,Q103=0,N103="0,00"),"0,00",ROUNDDOWN(Расценка!$V$20*NETWORKDAYS.INTL(P103,Q103,1,справочник!$V$2:$V$18)*'Трудозатраты членов ВТК'!G111,0))</f>
        <v>0,00</v>
      </c>
      <c r="T103" s="663">
        <f>IF(L103="",'Трудозатраты членов ВТК'!F111,IF(OR(O103="0,00",S103="0,00"),0,'Трудозатраты членов ВТК'!F111-S103))</f>
        <v>0</v>
      </c>
      <c r="U103" s="652"/>
    </row>
    <row r="104" spans="1:21" ht="15.75" x14ac:dyDescent="0.25">
      <c r="A104" s="247">
        <v>96</v>
      </c>
      <c r="B104" s="555"/>
      <c r="C104" s="555"/>
      <c r="D104" s="553"/>
      <c r="E104" s="671" t="str">
        <f>IFERROR(VLOOKUP($D104,Расценка!$N$3:$P$443,3,FALSE),"-")</f>
        <v>-</v>
      </c>
      <c r="F104" s="553"/>
      <c r="G104" s="554"/>
      <c r="H104" s="247" t="str">
        <f>IFERROR(INDEX(Расценка!$1:$1048576,MATCH(D104,Расценка!$N:$N,0),MATCH($H$8,Расценка!$2:$2,0)),"-")</f>
        <v>-</v>
      </c>
      <c r="I104" s="247" t="str">
        <f>IFERROR(VLOOKUP($H104,Расценка!$S$10:$T$15,2,FALSE),"-")</f>
        <v>-</v>
      </c>
      <c r="J104" s="435"/>
      <c r="K104" s="129"/>
      <c r="L104" s="129"/>
      <c r="M104" s="129"/>
      <c r="N104" s="589" t="str">
        <f>IF(OR(L104=0,M104=0),"0,00",ROUNDDOWN(Расценка!$V$20*NETWORKDAYS.INTL(L104,M104,1,справочник!$V$2:$V$18),0))</f>
        <v>0,00</v>
      </c>
      <c r="O104" s="589">
        <f>IF(N104="0,00",0,'Трудозатраты членов ВТК'!F112)</f>
        <v>0</v>
      </c>
      <c r="P104" s="587"/>
      <c r="Q104" s="587"/>
      <c r="R104" s="663" t="str">
        <f>IF(OR(P104=0,Q104=0),"0,00",ROUNDDOWN(Расценка!$V$20*NETWORKDAYS.INTL(P104,Q104,1,справочник!$V$2:$V$18),0))</f>
        <v>0,00</v>
      </c>
      <c r="S104" s="663" t="str">
        <f>IF(OR(P104=0,Q104=0,N104="0,00"),"0,00",ROUNDDOWN(Расценка!$V$20*NETWORKDAYS.INTL(P104,Q104,1,справочник!$V$2:$V$18)*'Трудозатраты членов ВТК'!G112,0))</f>
        <v>0,00</v>
      </c>
      <c r="T104" s="663">
        <f>IF(L104="",'Трудозатраты членов ВТК'!F112,IF(OR(O104="0,00",S104="0,00"),0,'Трудозатраты членов ВТК'!F112-S104))</f>
        <v>0</v>
      </c>
      <c r="U104" s="652"/>
    </row>
    <row r="105" spans="1:21" ht="15.75" x14ac:dyDescent="0.25">
      <c r="A105" s="247">
        <v>97</v>
      </c>
      <c r="B105" s="555"/>
      <c r="C105" s="555"/>
      <c r="D105" s="553"/>
      <c r="E105" s="671" t="str">
        <f>IFERROR(VLOOKUP($D105,Расценка!$N$3:$P$443,3,FALSE),"-")</f>
        <v>-</v>
      </c>
      <c r="F105" s="553"/>
      <c r="G105" s="554"/>
      <c r="H105" s="247" t="str">
        <f>IFERROR(INDEX(Расценка!$1:$1048576,MATCH(D105,Расценка!$N:$N,0),MATCH($H$8,Расценка!$2:$2,0)),"-")</f>
        <v>-</v>
      </c>
      <c r="I105" s="247" t="str">
        <f>IFERROR(VLOOKUP($H105,Расценка!$S$10:$T$15,2,FALSE),"-")</f>
        <v>-</v>
      </c>
      <c r="J105" s="435"/>
      <c r="K105" s="129"/>
      <c r="L105" s="129"/>
      <c r="M105" s="129"/>
      <c r="N105" s="589" t="str">
        <f>IF(OR(L105=0,M105=0),"0,00",ROUNDDOWN(Расценка!$V$20*NETWORKDAYS.INTL(L105,M105,1,справочник!$V$2:$V$18),0))</f>
        <v>0,00</v>
      </c>
      <c r="O105" s="589">
        <f>IF(N105="0,00",0,'Трудозатраты членов ВТК'!F113)</f>
        <v>0</v>
      </c>
      <c r="P105" s="587"/>
      <c r="Q105" s="587"/>
      <c r="R105" s="663" t="str">
        <f>IF(OR(P105=0,Q105=0),"0,00",ROUNDDOWN(Расценка!$V$20*NETWORKDAYS.INTL(P105,Q105,1,справочник!$V$2:$V$18),0))</f>
        <v>0,00</v>
      </c>
      <c r="S105" s="663" t="str">
        <f>IF(OR(P105=0,Q105=0,N105="0,00"),"0,00",ROUNDDOWN(Расценка!$V$20*NETWORKDAYS.INTL(P105,Q105,1,справочник!$V$2:$V$18)*'Трудозатраты членов ВТК'!G113,0))</f>
        <v>0,00</v>
      </c>
      <c r="T105" s="663">
        <f>IF(L105="",'Трудозатраты членов ВТК'!F113,IF(OR(O105="0,00",S105="0,00"),0,'Трудозатраты членов ВТК'!F113-S105))</f>
        <v>0</v>
      </c>
      <c r="U105" s="652"/>
    </row>
    <row r="106" spans="1:21" ht="15.75" x14ac:dyDescent="0.25">
      <c r="A106" s="247">
        <v>98</v>
      </c>
      <c r="B106" s="555"/>
      <c r="C106" s="555"/>
      <c r="D106" s="553"/>
      <c r="E106" s="671" t="str">
        <f>IFERROR(VLOOKUP($D106,Расценка!$N$3:$P$443,3,FALSE),"-")</f>
        <v>-</v>
      </c>
      <c r="F106" s="553"/>
      <c r="G106" s="554"/>
      <c r="H106" s="247" t="str">
        <f>IFERROR(INDEX(Расценка!$1:$1048576,MATCH(D106,Расценка!$N:$N,0),MATCH($H$8,Расценка!$2:$2,0)),"-")</f>
        <v>-</v>
      </c>
      <c r="I106" s="247" t="str">
        <f>IFERROR(VLOOKUP($H106,Расценка!$S$10:$T$15,2,FALSE),"-")</f>
        <v>-</v>
      </c>
      <c r="J106" s="435"/>
      <c r="K106" s="129"/>
      <c r="L106" s="129"/>
      <c r="M106" s="129"/>
      <c r="N106" s="589" t="str">
        <f>IF(OR(L106=0,M106=0),"0,00",ROUNDDOWN(Расценка!$V$20*NETWORKDAYS.INTL(L106,M106,1,справочник!$V$2:$V$18),0))</f>
        <v>0,00</v>
      </c>
      <c r="O106" s="589">
        <f>IF(N106="0,00",0,'Трудозатраты членов ВТК'!F114)</f>
        <v>0</v>
      </c>
      <c r="P106" s="587"/>
      <c r="Q106" s="587"/>
      <c r="R106" s="663" t="str">
        <f>IF(OR(P106=0,Q106=0),"0,00",ROUNDDOWN(Расценка!$V$20*NETWORKDAYS.INTL(P106,Q106,1,справочник!$V$2:$V$18),0))</f>
        <v>0,00</v>
      </c>
      <c r="S106" s="663" t="str">
        <f>IF(OR(P106=0,Q106=0,N106="0,00"),"0,00",ROUNDDOWN(Расценка!$V$20*NETWORKDAYS.INTL(P106,Q106,1,справочник!$V$2:$V$18)*'Трудозатраты членов ВТК'!G114,0))</f>
        <v>0,00</v>
      </c>
      <c r="T106" s="663">
        <f>IF(L106="",'Трудозатраты членов ВТК'!F114,IF(OR(O106="0,00",S106="0,00"),0,'Трудозатраты членов ВТК'!F114-S106))</f>
        <v>0</v>
      </c>
      <c r="U106" s="652"/>
    </row>
    <row r="107" spans="1:21" ht="15.75" x14ac:dyDescent="0.25">
      <c r="A107" s="247">
        <v>99</v>
      </c>
      <c r="B107" s="555"/>
      <c r="C107" s="555"/>
      <c r="D107" s="553"/>
      <c r="E107" s="671" t="str">
        <f>IFERROR(VLOOKUP($D107,Расценка!$N$3:$P$443,3,FALSE),"-")</f>
        <v>-</v>
      </c>
      <c r="F107" s="553"/>
      <c r="G107" s="554"/>
      <c r="H107" s="247" t="str">
        <f>IFERROR(INDEX(Расценка!$1:$1048576,MATCH(D107,Расценка!$N:$N,0),MATCH($H$8,Расценка!$2:$2,0)),"-")</f>
        <v>-</v>
      </c>
      <c r="I107" s="247" t="str">
        <f>IFERROR(VLOOKUP($H107,Расценка!$S$10:$T$15,2,FALSE),"-")</f>
        <v>-</v>
      </c>
      <c r="J107" s="435"/>
      <c r="K107" s="129"/>
      <c r="L107" s="129"/>
      <c r="M107" s="129"/>
      <c r="N107" s="589" t="str">
        <f>IF(OR(L107=0,M107=0),"0,00",ROUNDDOWN(Расценка!$V$20*NETWORKDAYS.INTL(L107,M107,1,справочник!$V$2:$V$18),0))</f>
        <v>0,00</v>
      </c>
      <c r="O107" s="589">
        <f>IF(N107="0,00",0,'Трудозатраты членов ВТК'!F115)</f>
        <v>0</v>
      </c>
      <c r="P107" s="587"/>
      <c r="Q107" s="587"/>
      <c r="R107" s="663" t="str">
        <f>IF(OR(P107=0,Q107=0),"0,00",ROUNDDOWN(Расценка!$V$20*NETWORKDAYS.INTL(P107,Q107,1,справочник!$V$2:$V$18),0))</f>
        <v>0,00</v>
      </c>
      <c r="S107" s="663" t="str">
        <f>IF(OR(P107=0,Q107=0,N107="0,00"),"0,00",ROUNDDOWN(Расценка!$V$20*NETWORKDAYS.INTL(P107,Q107,1,справочник!$V$2:$V$18)*'Трудозатраты членов ВТК'!G115,0))</f>
        <v>0,00</v>
      </c>
      <c r="T107" s="663">
        <f>IF(L107="",'Трудозатраты членов ВТК'!F115,IF(OR(O107="0,00",S107="0,00"),0,'Трудозатраты членов ВТК'!F115-S107))</f>
        <v>0</v>
      </c>
      <c r="U107" s="652"/>
    </row>
    <row r="108" spans="1:21" ht="15.75" x14ac:dyDescent="0.25">
      <c r="A108" s="247">
        <v>100</v>
      </c>
      <c r="B108" s="555"/>
      <c r="C108" s="555"/>
      <c r="D108" s="553"/>
      <c r="E108" s="671" t="str">
        <f>IFERROR(VLOOKUP($D108,Расценка!$N$3:$P$443,3,FALSE),"-")</f>
        <v>-</v>
      </c>
      <c r="F108" s="553"/>
      <c r="G108" s="554"/>
      <c r="H108" s="247" t="str">
        <f>IFERROR(INDEX(Расценка!$1:$1048576,MATCH(D108,Расценка!$N:$N,0),MATCH($H$8,Расценка!$2:$2,0)),"-")</f>
        <v>-</v>
      </c>
      <c r="I108" s="247" t="str">
        <f>IFERROR(VLOOKUP($H108,Расценка!$S$10:$T$15,2,FALSE),"-")</f>
        <v>-</v>
      </c>
      <c r="J108" s="435"/>
      <c r="K108" s="129"/>
      <c r="L108" s="129"/>
      <c r="M108" s="129"/>
      <c r="N108" s="589" t="str">
        <f>IF(OR(L108=0,M108=0),"0,00",ROUNDDOWN(Расценка!$V$20*NETWORKDAYS.INTL(L108,M108,1,справочник!$V$2:$V$18),0))</f>
        <v>0,00</v>
      </c>
      <c r="O108" s="589">
        <f>IF(N108="0,00",0,'Трудозатраты членов ВТК'!F116)</f>
        <v>0</v>
      </c>
      <c r="P108" s="587"/>
      <c r="Q108" s="587"/>
      <c r="R108" s="663" t="str">
        <f>IF(OR(P108=0,Q108=0),"0,00",ROUNDDOWN(Расценка!$V$20*NETWORKDAYS.INTL(P108,Q108,1,справочник!$V$2:$V$18),0))</f>
        <v>0,00</v>
      </c>
      <c r="S108" s="663" t="str">
        <f>IF(OR(P108=0,Q108=0,N108="0,00"),"0,00",ROUNDDOWN(Расценка!$V$20*NETWORKDAYS.INTL(P108,Q108,1,справочник!$V$2:$V$18)*'Трудозатраты членов ВТК'!G116,0))</f>
        <v>0,00</v>
      </c>
      <c r="T108" s="663">
        <f>IF(L108="",'Трудозатраты членов ВТК'!F116,IF(OR(O108="0,00",S108="0,00"),0,'Трудозатраты членов ВТК'!F116-S108))</f>
        <v>0</v>
      </c>
      <c r="U108" s="652"/>
    </row>
    <row r="125" spans="11:20" x14ac:dyDescent="0.25"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</row>
    <row r="126" spans="11:20" x14ac:dyDescent="0.25"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</row>
    <row r="127" spans="11:20" x14ac:dyDescent="0.25"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</row>
    <row r="128" spans="11:20" x14ac:dyDescent="0.25"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</row>
    <row r="129" spans="11:20" x14ac:dyDescent="0.25"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</row>
    <row r="130" spans="11:20" x14ac:dyDescent="0.25"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</row>
    <row r="131" spans="11:20" x14ac:dyDescent="0.25"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</row>
    <row r="132" spans="11:20" x14ac:dyDescent="0.25"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</row>
    <row r="133" spans="11:20" x14ac:dyDescent="0.25"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</row>
    <row r="134" spans="11:20" x14ac:dyDescent="0.25"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</row>
    <row r="135" spans="11:20" x14ac:dyDescent="0.25"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</row>
    <row r="136" spans="11:20" x14ac:dyDescent="0.25"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</row>
    <row r="137" spans="11:20" x14ac:dyDescent="0.25"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</row>
    <row r="138" spans="11:20" x14ac:dyDescent="0.25"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</row>
    <row r="139" spans="11:20" x14ac:dyDescent="0.25"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</row>
    <row r="140" spans="11:20" x14ac:dyDescent="0.25">
      <c r="K140" s="354"/>
      <c r="L140" s="354"/>
      <c r="M140" s="354"/>
      <c r="N140" s="354"/>
      <c r="O140" s="354"/>
      <c r="P140" s="354"/>
      <c r="Q140" s="354"/>
      <c r="R140" s="354"/>
      <c r="S140" s="354"/>
      <c r="T140" s="354"/>
    </row>
    <row r="141" spans="11:20" x14ac:dyDescent="0.25"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</row>
    <row r="142" spans="11:20" x14ac:dyDescent="0.25"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</row>
    <row r="143" spans="11:20" x14ac:dyDescent="0.25"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</row>
  </sheetData>
  <sheetProtection password="CF98" sheet="1" formatCells="0" formatColumns="0" formatRows="0" insertRows="0" insertHyperlinks="0" deleteRows="0" sort="0" autoFilter="0"/>
  <autoFilter ref="A8:K8"/>
  <mergeCells count="15">
    <mergeCell ref="A6:O6"/>
    <mergeCell ref="U7:U8"/>
    <mergeCell ref="C1:G1"/>
    <mergeCell ref="A7:A8"/>
    <mergeCell ref="B7:B8"/>
    <mergeCell ref="C7:I7"/>
    <mergeCell ref="J7:K7"/>
    <mergeCell ref="N7:N8"/>
    <mergeCell ref="L7:M7"/>
    <mergeCell ref="O7:O8"/>
    <mergeCell ref="P7:Q7"/>
    <mergeCell ref="S7:S8"/>
    <mergeCell ref="T7:T8"/>
    <mergeCell ref="P6:T6"/>
    <mergeCell ref="R7:R8"/>
  </mergeCells>
  <conditionalFormatting sqref="G4">
    <cfRule type="cellIs" dxfId="211" priority="1" operator="greaterThan">
      <formula>$G$3</formula>
    </cfRule>
  </conditionalFormatting>
  <conditionalFormatting sqref="F4">
    <cfRule type="cellIs" dxfId="210" priority="2" operator="lessThan">
      <formula>$F$3</formula>
    </cfRule>
  </conditionalFormatting>
  <conditionalFormatting sqref="D4">
    <cfRule type="cellIs" dxfId="209" priority="3" operator="lessThan">
      <formula>$D$3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'C:\Users\Vvsmirnova\Desktop\[Образец_Расчета тем НИР ГЗ 26.01.23.xlsm]справочник'!#REF!</xm:f>
          </x14:formula1>
          <xm:sqref>K109</xm:sqref>
        </x14:dataValidation>
        <x14:dataValidation type="list" allowBlank="1" showInputMessage="1" showErrorMessage="1" prompt="Выбрать из списка">
          <x14:formula1>
            <xm:f>справочник!$A$4:$A$5</xm:f>
          </x14:formula1>
          <xm:sqref>K9:K108</xm:sqref>
        </x14:dataValidation>
        <x14:dataValidation type="list" allowBlank="1" showInputMessage="1" showErrorMessage="1">
          <x14:formula1>
            <xm:f>должности!#REF!</xm:f>
          </x14:formula1>
          <xm:sqref>D109</xm:sqref>
        </x14:dataValidation>
        <x14:dataValidation type="list" allowBlank="1" showInputMessage="1" showErrorMessage="1" prompt="Выбрать из списка">
          <x14:formula1>
            <xm:f>должности!$A$1:$CP$1</xm:f>
          </x14:formula1>
          <xm:sqref>D9:D108</xm:sqref>
        </x14:dataValidation>
        <x14:dataValidation type="list" allowBlank="1" showInputMessage="1" showErrorMessage="1">
          <x14:formula1>
            <xm:f>справочник!$C$2:$C$4</xm:f>
          </x14:formula1>
          <xm:sqref>J109</xm:sqref>
        </x14:dataValidation>
        <x14:dataValidation type="list" allowBlank="1" showInputMessage="1" showErrorMessage="1" prompt="Выбрать из списка">
          <x14:formula1>
            <xm:f>справочник!$C$2:$C$8</xm:f>
          </x14:formula1>
          <xm:sqref>J9:J108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K386"/>
  <sheetViews>
    <sheetView tabSelected="1" zoomScale="70" zoomScaleNormal="70" zoomScaleSheetLayoutView="100" workbookViewId="0">
      <pane xSplit="1" ySplit="10" topLeftCell="B11" activePane="bottomRight" state="frozen"/>
      <selection pane="topRight" activeCell="B1" sqref="B1"/>
      <selection pane="bottomLeft" activeCell="A12" sqref="A12"/>
      <selection pane="bottomRight" activeCell="A78" sqref="A78:XFD374"/>
    </sheetView>
  </sheetViews>
  <sheetFormatPr defaultColWidth="9.140625" defaultRowHeight="15" x14ac:dyDescent="0.25"/>
  <cols>
    <col min="1" max="1" width="37.7109375" style="9" customWidth="1"/>
    <col min="2" max="2" width="91.5703125" style="9" customWidth="1"/>
    <col min="3" max="3" width="82.28515625" style="9" customWidth="1"/>
    <col min="4" max="4" width="29" style="9" customWidth="1" collapsed="1"/>
    <col min="5" max="5" width="9.140625" style="9"/>
    <col min="6" max="6" width="16.85546875" style="9" customWidth="1"/>
    <col min="7" max="7" width="14.28515625" style="9" customWidth="1"/>
    <col min="8" max="9" width="9.140625" style="9"/>
    <col min="10" max="10" width="10" style="9" bestFit="1" customWidth="1"/>
    <col min="11" max="16384" width="9.140625" style="9"/>
  </cols>
  <sheetData>
    <row r="1" spans="1:11" ht="18.75" x14ac:dyDescent="0.25">
      <c r="A1" s="1"/>
      <c r="B1" s="157"/>
      <c r="C1" s="157"/>
      <c r="D1" s="303"/>
    </row>
    <row r="2" spans="1:11" ht="27" x14ac:dyDescent="0.25">
      <c r="A2" s="800" t="s">
        <v>671</v>
      </c>
      <c r="B2" s="800"/>
      <c r="C2" s="800"/>
      <c r="D2" s="800"/>
      <c r="G2" s="330"/>
    </row>
    <row r="3" spans="1:11" ht="18.75" x14ac:dyDescent="0.25">
      <c r="A3" s="303"/>
      <c r="B3" s="303"/>
      <c r="C3" s="303"/>
      <c r="D3" s="303"/>
    </row>
    <row r="4" spans="1:11" ht="36" customHeight="1" thickBot="1" x14ac:dyDescent="0.3">
      <c r="A4" s="803" t="s">
        <v>221</v>
      </c>
      <c r="B4" s="803"/>
      <c r="C4" s="803"/>
      <c r="D4" s="803"/>
      <c r="G4" s="701"/>
      <c r="H4" s="701"/>
      <c r="I4" s="701"/>
      <c r="J4" s="701"/>
      <c r="K4" s="330"/>
    </row>
    <row r="5" spans="1:11" ht="18.75" x14ac:dyDescent="0.25">
      <c r="A5" s="711" t="s">
        <v>64</v>
      </c>
      <c r="B5" s="712" t="s">
        <v>51</v>
      </c>
      <c r="C5" s="712" t="s">
        <v>52</v>
      </c>
      <c r="D5" s="713" t="s">
        <v>69</v>
      </c>
      <c r="G5" s="1"/>
      <c r="H5" s="341"/>
      <c r="I5" s="698"/>
      <c r="J5" s="330"/>
      <c r="K5" s="330"/>
    </row>
    <row r="6" spans="1:11" ht="19.5" thickBot="1" x14ac:dyDescent="0.3">
      <c r="A6" s="714">
        <f>IFERROR(ROUND(Распределение!$C$4*Расценка!$T$20,2),"0,00")</f>
        <v>0</v>
      </c>
      <c r="B6" s="715">
        <f>IFERROR(ROUND(Распределение!$D$4*Расценка!$T$20,2),"0,00")</f>
        <v>0</v>
      </c>
      <c r="C6" s="715">
        <f>IFERROR(ROUND(Распределение!$E$4*Расценка!$T$20,2),"0,00")</f>
        <v>0</v>
      </c>
      <c r="D6" s="716">
        <f>IFERROR(ROUND(Распределение!$F$4*Расценка!$T$20,2),"0,00")</f>
        <v>0</v>
      </c>
      <c r="E6" s="139"/>
      <c r="G6" s="1"/>
      <c r="H6" s="699"/>
      <c r="I6" s="700"/>
      <c r="J6" s="1"/>
      <c r="K6" s="1"/>
    </row>
    <row r="8" spans="1:11" ht="71.25" customHeight="1" x14ac:dyDescent="0.25">
      <c r="A8" s="802" t="s">
        <v>11</v>
      </c>
      <c r="B8" s="801" t="s">
        <v>394</v>
      </c>
      <c r="C8" s="801" t="s">
        <v>395</v>
      </c>
      <c r="D8" s="801" t="s">
        <v>670</v>
      </c>
      <c r="F8" s="322" t="s">
        <v>232</v>
      </c>
      <c r="G8" s="356"/>
    </row>
    <row r="9" spans="1:11" ht="21" customHeight="1" x14ac:dyDescent="0.25">
      <c r="A9" s="802"/>
      <c r="B9" s="801"/>
      <c r="C9" s="801"/>
      <c r="D9" s="801"/>
      <c r="F9" s="322" t="s">
        <v>304</v>
      </c>
      <c r="G9" s="328" t="s">
        <v>306</v>
      </c>
    </row>
    <row r="10" spans="1:11" ht="15.75" x14ac:dyDescent="0.25">
      <c r="A10" s="799" t="s">
        <v>3</v>
      </c>
      <c r="B10" s="799"/>
      <c r="C10" s="799"/>
      <c r="D10" s="397">
        <f>SUM(D12:D64)</f>
        <v>0</v>
      </c>
      <c r="E10" s="142"/>
      <c r="F10" s="322" t="s">
        <v>304</v>
      </c>
      <c r="G10" s="368" t="s">
        <v>305</v>
      </c>
    </row>
    <row r="11" spans="1:11" ht="11.25" customHeight="1" x14ac:dyDescent="0.25">
      <c r="A11" s="11"/>
      <c r="B11" s="163" t="s">
        <v>440</v>
      </c>
      <c r="C11" s="165"/>
      <c r="D11" s="395"/>
      <c r="F11" s="1"/>
      <c r="G11" s="1"/>
    </row>
    <row r="12" spans="1:11" s="1" customFormat="1" ht="15.75" x14ac:dyDescent="0.25">
      <c r="A12" s="19" t="s">
        <v>283</v>
      </c>
      <c r="B12" s="168"/>
      <c r="C12" s="650"/>
      <c r="D12" s="396"/>
      <c r="F12" s="1">
        <f>LEN(B12)</f>
        <v>0</v>
      </c>
    </row>
    <row r="13" spans="1:11" s="1" customFormat="1" ht="15.75" x14ac:dyDescent="0.25">
      <c r="A13" s="19" t="s">
        <v>284</v>
      </c>
      <c r="B13" s="168"/>
      <c r="C13" s="650"/>
      <c r="D13" s="396"/>
      <c r="F13" s="1">
        <f t="shared" ref="F13:F37" si="0">LEN(B13)</f>
        <v>0</v>
      </c>
    </row>
    <row r="14" spans="1:11" s="1" customFormat="1" ht="15.75" x14ac:dyDescent="0.25">
      <c r="A14" s="19" t="s">
        <v>285</v>
      </c>
      <c r="B14" s="168"/>
      <c r="C14" s="650"/>
      <c r="D14" s="396"/>
      <c r="F14" s="1">
        <f t="shared" si="0"/>
        <v>0</v>
      </c>
    </row>
    <row r="15" spans="1:11" s="1" customFormat="1" ht="15.75" x14ac:dyDescent="0.25">
      <c r="A15" s="19" t="s">
        <v>286</v>
      </c>
      <c r="B15" s="168"/>
      <c r="C15" s="650"/>
      <c r="D15" s="396"/>
      <c r="F15" s="1">
        <f t="shared" si="0"/>
        <v>0</v>
      </c>
    </row>
    <row r="16" spans="1:11" s="1" customFormat="1" ht="15.75" x14ac:dyDescent="0.25">
      <c r="A16" s="19" t="s">
        <v>287</v>
      </c>
      <c r="B16" s="168"/>
      <c r="C16" s="650"/>
      <c r="D16" s="396"/>
      <c r="F16" s="1">
        <f t="shared" si="0"/>
        <v>0</v>
      </c>
    </row>
    <row r="17" spans="1:6" s="1" customFormat="1" ht="15.75" x14ac:dyDescent="0.25">
      <c r="A17" s="19" t="s">
        <v>288</v>
      </c>
      <c r="B17" s="168"/>
      <c r="C17" s="650"/>
      <c r="D17" s="396"/>
      <c r="F17" s="1">
        <f t="shared" si="0"/>
        <v>0</v>
      </c>
    </row>
    <row r="18" spans="1:6" s="1" customFormat="1" ht="15.75" x14ac:dyDescent="0.25">
      <c r="A18" s="19" t="s">
        <v>289</v>
      </c>
      <c r="B18" s="168"/>
      <c r="C18" s="650"/>
      <c r="D18" s="396"/>
      <c r="F18" s="1">
        <f t="shared" si="0"/>
        <v>0</v>
      </c>
    </row>
    <row r="19" spans="1:6" s="1" customFormat="1" ht="15.75" x14ac:dyDescent="0.25">
      <c r="A19" s="19" t="s">
        <v>290</v>
      </c>
      <c r="B19" s="168"/>
      <c r="C19" s="650"/>
      <c r="D19" s="396"/>
      <c r="F19" s="1">
        <f t="shared" si="0"/>
        <v>0</v>
      </c>
    </row>
    <row r="20" spans="1:6" s="1" customFormat="1" ht="15.75" x14ac:dyDescent="0.25">
      <c r="A20" s="19" t="s">
        <v>291</v>
      </c>
      <c r="B20" s="168"/>
      <c r="C20" s="650"/>
      <c r="D20" s="396"/>
      <c r="F20" s="1">
        <f t="shared" si="0"/>
        <v>0</v>
      </c>
    </row>
    <row r="21" spans="1:6" s="1" customFormat="1" ht="15.75" x14ac:dyDescent="0.25">
      <c r="A21" s="19" t="s">
        <v>292</v>
      </c>
      <c r="B21" s="168"/>
      <c r="C21" s="650"/>
      <c r="D21" s="396"/>
      <c r="F21" s="1">
        <f t="shared" si="0"/>
        <v>0</v>
      </c>
    </row>
    <row r="22" spans="1:6" s="1" customFormat="1" ht="15.75" x14ac:dyDescent="0.25">
      <c r="A22" s="19" t="s">
        <v>293</v>
      </c>
      <c r="B22" s="168"/>
      <c r="C22" s="650"/>
      <c r="D22" s="396"/>
      <c r="F22" s="1">
        <f t="shared" si="0"/>
        <v>0</v>
      </c>
    </row>
    <row r="23" spans="1:6" s="1" customFormat="1" ht="15.75" x14ac:dyDescent="0.25">
      <c r="A23" s="19" t="s">
        <v>294</v>
      </c>
      <c r="B23" s="167"/>
      <c r="C23" s="164"/>
      <c r="D23" s="396"/>
      <c r="F23" s="1">
        <f t="shared" si="0"/>
        <v>0</v>
      </c>
    </row>
    <row r="24" spans="1:6" s="1" customFormat="1" ht="15.75" x14ac:dyDescent="0.25">
      <c r="A24" s="19" t="s">
        <v>295</v>
      </c>
      <c r="B24" s="167"/>
      <c r="C24" s="164"/>
      <c r="D24" s="396"/>
      <c r="F24" s="1">
        <f t="shared" si="0"/>
        <v>0</v>
      </c>
    </row>
    <row r="25" spans="1:6" s="1" customFormat="1" ht="15.75" x14ac:dyDescent="0.25">
      <c r="A25" s="19" t="s">
        <v>296</v>
      </c>
      <c r="B25" s="167"/>
      <c r="C25" s="164"/>
      <c r="D25" s="396"/>
      <c r="F25" s="1">
        <f t="shared" si="0"/>
        <v>0</v>
      </c>
    </row>
    <row r="26" spans="1:6" s="1" customFormat="1" ht="15.75" x14ac:dyDescent="0.25">
      <c r="A26" s="19" t="s">
        <v>297</v>
      </c>
      <c r="B26" s="167"/>
      <c r="C26" s="164"/>
      <c r="D26" s="396"/>
      <c r="F26" s="1">
        <f t="shared" si="0"/>
        <v>0</v>
      </c>
    </row>
    <row r="27" spans="1:6" s="1" customFormat="1" ht="15.75" hidden="1" x14ac:dyDescent="0.25">
      <c r="A27" s="19" t="s">
        <v>298</v>
      </c>
      <c r="B27" s="167"/>
      <c r="C27" s="164"/>
      <c r="D27" s="396"/>
      <c r="F27" s="1">
        <f t="shared" si="0"/>
        <v>0</v>
      </c>
    </row>
    <row r="28" spans="1:6" s="1" customFormat="1" ht="15.75" hidden="1" x14ac:dyDescent="0.25">
      <c r="A28" s="19" t="s">
        <v>299</v>
      </c>
      <c r="B28" s="167"/>
      <c r="C28" s="164"/>
      <c r="D28" s="396"/>
      <c r="F28" s="1">
        <f t="shared" si="0"/>
        <v>0</v>
      </c>
    </row>
    <row r="29" spans="1:6" s="1" customFormat="1" ht="15.75" hidden="1" x14ac:dyDescent="0.25">
      <c r="A29" s="19" t="s">
        <v>300</v>
      </c>
      <c r="B29" s="167"/>
      <c r="C29" s="164"/>
      <c r="D29" s="396"/>
      <c r="F29" s="1">
        <f t="shared" si="0"/>
        <v>0</v>
      </c>
    </row>
    <row r="30" spans="1:6" s="1" customFormat="1" ht="15.75" hidden="1" x14ac:dyDescent="0.25">
      <c r="A30" s="19" t="s">
        <v>301</v>
      </c>
      <c r="B30" s="167"/>
      <c r="C30" s="164"/>
      <c r="D30" s="396"/>
      <c r="F30" s="1">
        <f t="shared" si="0"/>
        <v>0</v>
      </c>
    </row>
    <row r="31" spans="1:6" s="1" customFormat="1" ht="15.75" hidden="1" x14ac:dyDescent="0.25">
      <c r="A31" s="19" t="s">
        <v>302</v>
      </c>
      <c r="B31" s="167"/>
      <c r="C31" s="164"/>
      <c r="D31" s="396"/>
      <c r="F31" s="1">
        <f t="shared" si="0"/>
        <v>0</v>
      </c>
    </row>
    <row r="32" spans="1:6" s="1" customFormat="1" ht="15.75" hidden="1" x14ac:dyDescent="0.25">
      <c r="A32" s="19" t="s">
        <v>465</v>
      </c>
      <c r="B32" s="167"/>
      <c r="C32" s="164"/>
      <c r="D32" s="396"/>
      <c r="F32" s="1">
        <f t="shared" si="0"/>
        <v>0</v>
      </c>
    </row>
    <row r="33" spans="1:6" s="1" customFormat="1" ht="15.75" hidden="1" x14ac:dyDescent="0.25">
      <c r="A33" s="19" t="s">
        <v>466</v>
      </c>
      <c r="B33" s="167"/>
      <c r="C33" s="164"/>
      <c r="D33" s="396"/>
      <c r="F33" s="1">
        <f t="shared" si="0"/>
        <v>0</v>
      </c>
    </row>
    <row r="34" spans="1:6" s="1" customFormat="1" ht="15.75" hidden="1" x14ac:dyDescent="0.25">
      <c r="A34" s="19" t="s">
        <v>467</v>
      </c>
      <c r="B34" s="167"/>
      <c r="C34" s="164"/>
      <c r="D34" s="396"/>
      <c r="F34" s="1">
        <f t="shared" ref="F34:F35" si="1">LEN(B34)</f>
        <v>0</v>
      </c>
    </row>
    <row r="35" spans="1:6" s="1" customFormat="1" ht="15.75" hidden="1" x14ac:dyDescent="0.25">
      <c r="A35" s="19" t="s">
        <v>468</v>
      </c>
      <c r="B35" s="167"/>
      <c r="C35" s="164"/>
      <c r="D35" s="396"/>
      <c r="F35" s="1">
        <f t="shared" si="1"/>
        <v>0</v>
      </c>
    </row>
    <row r="36" spans="1:6" s="1" customFormat="1" ht="15.75" hidden="1" x14ac:dyDescent="0.25">
      <c r="A36" s="19" t="s">
        <v>469</v>
      </c>
      <c r="B36" s="167"/>
      <c r="C36" s="164"/>
      <c r="D36" s="396"/>
      <c r="F36" s="1">
        <f t="shared" si="0"/>
        <v>0</v>
      </c>
    </row>
    <row r="37" spans="1:6" s="1" customFormat="1" ht="15.75" hidden="1" x14ac:dyDescent="0.25">
      <c r="A37" s="19" t="s">
        <v>470</v>
      </c>
      <c r="B37" s="167"/>
      <c r="C37" s="164"/>
      <c r="D37" s="396"/>
      <c r="F37" s="1">
        <f t="shared" si="0"/>
        <v>0</v>
      </c>
    </row>
    <row r="38" spans="1:6" s="1" customFormat="1" ht="15.75" hidden="1" x14ac:dyDescent="0.25">
      <c r="A38" s="19" t="s">
        <v>471</v>
      </c>
      <c r="B38" s="167"/>
      <c r="C38" s="164"/>
      <c r="D38" s="396"/>
      <c r="F38" s="1">
        <f t="shared" ref="F38:F39" si="2">LEN(B38)</f>
        <v>0</v>
      </c>
    </row>
    <row r="39" spans="1:6" s="1" customFormat="1" ht="15.75" hidden="1" x14ac:dyDescent="0.25">
      <c r="A39" s="19" t="s">
        <v>472</v>
      </c>
      <c r="B39" s="167"/>
      <c r="C39" s="164"/>
      <c r="D39" s="396"/>
      <c r="F39" s="1">
        <f t="shared" si="2"/>
        <v>0</v>
      </c>
    </row>
    <row r="40" spans="1:6" s="1" customFormat="1" ht="15.75" hidden="1" x14ac:dyDescent="0.25">
      <c r="A40" s="19" t="s">
        <v>473</v>
      </c>
      <c r="B40" s="167"/>
      <c r="C40" s="164"/>
      <c r="D40" s="396"/>
      <c r="F40" s="1">
        <f t="shared" ref="F40:F63" si="3">LEN(B40)</f>
        <v>0</v>
      </c>
    </row>
    <row r="41" spans="1:6" s="1" customFormat="1" ht="15.75" hidden="1" x14ac:dyDescent="0.25">
      <c r="A41" s="19" t="s">
        <v>474</v>
      </c>
      <c r="B41" s="167"/>
      <c r="C41" s="164"/>
      <c r="D41" s="396"/>
      <c r="F41" s="1">
        <f t="shared" si="3"/>
        <v>0</v>
      </c>
    </row>
    <row r="42" spans="1:6" s="1" customFormat="1" ht="15.75" hidden="1" x14ac:dyDescent="0.25">
      <c r="A42" s="19" t="s">
        <v>475</v>
      </c>
      <c r="B42" s="167"/>
      <c r="C42" s="164"/>
      <c r="D42" s="396"/>
      <c r="F42" s="1">
        <f t="shared" si="3"/>
        <v>0</v>
      </c>
    </row>
    <row r="43" spans="1:6" s="1" customFormat="1" ht="15.75" hidden="1" x14ac:dyDescent="0.25">
      <c r="A43" s="19" t="s">
        <v>476</v>
      </c>
      <c r="B43" s="167"/>
      <c r="C43" s="164"/>
      <c r="D43" s="396"/>
      <c r="F43" s="1">
        <f t="shared" si="3"/>
        <v>0</v>
      </c>
    </row>
    <row r="44" spans="1:6" s="1" customFormat="1" ht="15.75" hidden="1" x14ac:dyDescent="0.25">
      <c r="A44" s="19" t="s">
        <v>477</v>
      </c>
      <c r="B44" s="167"/>
      <c r="C44" s="164"/>
      <c r="D44" s="396"/>
      <c r="F44" s="1">
        <f t="shared" si="3"/>
        <v>0</v>
      </c>
    </row>
    <row r="45" spans="1:6" s="1" customFormat="1" ht="15.75" hidden="1" x14ac:dyDescent="0.25">
      <c r="A45" s="19" t="s">
        <v>478</v>
      </c>
      <c r="B45" s="167"/>
      <c r="C45" s="164"/>
      <c r="D45" s="396"/>
      <c r="F45" s="1">
        <f t="shared" si="3"/>
        <v>0</v>
      </c>
    </row>
    <row r="46" spans="1:6" s="1" customFormat="1" ht="15.75" hidden="1" x14ac:dyDescent="0.25">
      <c r="A46" s="19" t="s">
        <v>479</v>
      </c>
      <c r="B46" s="167"/>
      <c r="C46" s="164"/>
      <c r="D46" s="396"/>
      <c r="F46" s="1">
        <f t="shared" si="3"/>
        <v>0</v>
      </c>
    </row>
    <row r="47" spans="1:6" s="1" customFormat="1" ht="15.75" hidden="1" x14ac:dyDescent="0.25">
      <c r="A47" s="19" t="s">
        <v>480</v>
      </c>
      <c r="B47" s="167"/>
      <c r="C47" s="164"/>
      <c r="D47" s="396"/>
      <c r="F47" s="1">
        <f t="shared" si="3"/>
        <v>0</v>
      </c>
    </row>
    <row r="48" spans="1:6" s="1" customFormat="1" ht="15.75" hidden="1" x14ac:dyDescent="0.25">
      <c r="A48" s="19" t="s">
        <v>481</v>
      </c>
      <c r="B48" s="167"/>
      <c r="C48" s="164"/>
      <c r="D48" s="396"/>
      <c r="F48" s="1">
        <f t="shared" si="3"/>
        <v>0</v>
      </c>
    </row>
    <row r="49" spans="1:6" s="1" customFormat="1" ht="15.75" hidden="1" x14ac:dyDescent="0.25">
      <c r="A49" s="19" t="s">
        <v>482</v>
      </c>
      <c r="B49" s="167"/>
      <c r="C49" s="164"/>
      <c r="D49" s="396"/>
      <c r="F49" s="1">
        <f t="shared" si="3"/>
        <v>0</v>
      </c>
    </row>
    <row r="50" spans="1:6" s="1" customFormat="1" ht="15.75" hidden="1" x14ac:dyDescent="0.25">
      <c r="A50" s="19" t="s">
        <v>483</v>
      </c>
      <c r="B50" s="167"/>
      <c r="C50" s="164"/>
      <c r="D50" s="396"/>
      <c r="F50" s="1">
        <f t="shared" si="3"/>
        <v>0</v>
      </c>
    </row>
    <row r="51" spans="1:6" s="1" customFormat="1" ht="15.75" hidden="1" x14ac:dyDescent="0.25">
      <c r="A51" s="19" t="s">
        <v>484</v>
      </c>
      <c r="B51" s="167"/>
      <c r="C51" s="164"/>
      <c r="D51" s="396"/>
      <c r="F51" s="1">
        <f t="shared" si="3"/>
        <v>0</v>
      </c>
    </row>
    <row r="52" spans="1:6" s="1" customFormat="1" ht="15.75" hidden="1" x14ac:dyDescent="0.25">
      <c r="A52" s="19" t="s">
        <v>485</v>
      </c>
      <c r="B52" s="167"/>
      <c r="C52" s="164"/>
      <c r="D52" s="396"/>
      <c r="F52" s="1">
        <f t="shared" si="3"/>
        <v>0</v>
      </c>
    </row>
    <row r="53" spans="1:6" s="1" customFormat="1" ht="15.75" hidden="1" x14ac:dyDescent="0.25">
      <c r="A53" s="19" t="s">
        <v>486</v>
      </c>
      <c r="B53" s="167"/>
      <c r="C53" s="164"/>
      <c r="D53" s="396"/>
      <c r="F53" s="1">
        <f t="shared" si="3"/>
        <v>0</v>
      </c>
    </row>
    <row r="54" spans="1:6" s="1" customFormat="1" ht="15.75" hidden="1" x14ac:dyDescent="0.25">
      <c r="A54" s="19" t="s">
        <v>487</v>
      </c>
      <c r="B54" s="167"/>
      <c r="C54" s="164"/>
      <c r="D54" s="396"/>
      <c r="F54" s="1">
        <f t="shared" si="3"/>
        <v>0</v>
      </c>
    </row>
    <row r="55" spans="1:6" s="1" customFormat="1" ht="15.75" hidden="1" x14ac:dyDescent="0.25">
      <c r="A55" s="19" t="s">
        <v>488</v>
      </c>
      <c r="B55" s="167"/>
      <c r="C55" s="164"/>
      <c r="D55" s="396"/>
      <c r="F55" s="1">
        <f t="shared" si="3"/>
        <v>0</v>
      </c>
    </row>
    <row r="56" spans="1:6" s="1" customFormat="1" ht="15.75" hidden="1" x14ac:dyDescent="0.25">
      <c r="A56" s="19" t="s">
        <v>489</v>
      </c>
      <c r="B56" s="167"/>
      <c r="C56" s="164"/>
      <c r="D56" s="396"/>
      <c r="F56" s="1">
        <f t="shared" si="3"/>
        <v>0</v>
      </c>
    </row>
    <row r="57" spans="1:6" s="1" customFormat="1" ht="15.75" hidden="1" x14ac:dyDescent="0.25">
      <c r="A57" s="19" t="s">
        <v>490</v>
      </c>
      <c r="B57" s="167"/>
      <c r="C57" s="164"/>
      <c r="D57" s="396"/>
      <c r="F57" s="1">
        <f t="shared" si="3"/>
        <v>0</v>
      </c>
    </row>
    <row r="58" spans="1:6" s="1" customFormat="1" ht="15.75" hidden="1" x14ac:dyDescent="0.25">
      <c r="A58" s="19" t="s">
        <v>491</v>
      </c>
      <c r="B58" s="167"/>
      <c r="C58" s="164"/>
      <c r="D58" s="396"/>
      <c r="F58" s="1">
        <f t="shared" si="3"/>
        <v>0</v>
      </c>
    </row>
    <row r="59" spans="1:6" s="1" customFormat="1" ht="15.75" hidden="1" x14ac:dyDescent="0.25">
      <c r="A59" s="19" t="s">
        <v>492</v>
      </c>
      <c r="B59" s="167"/>
      <c r="C59" s="164"/>
      <c r="D59" s="396"/>
      <c r="F59" s="1">
        <f t="shared" si="3"/>
        <v>0</v>
      </c>
    </row>
    <row r="60" spans="1:6" s="1" customFormat="1" ht="15.75" hidden="1" x14ac:dyDescent="0.25">
      <c r="A60" s="19" t="s">
        <v>493</v>
      </c>
      <c r="B60" s="167"/>
      <c r="C60" s="164"/>
      <c r="D60" s="396"/>
      <c r="F60" s="1">
        <f t="shared" si="3"/>
        <v>0</v>
      </c>
    </row>
    <row r="61" spans="1:6" s="1" customFormat="1" ht="15.75" hidden="1" x14ac:dyDescent="0.25">
      <c r="A61" s="19" t="s">
        <v>494</v>
      </c>
      <c r="B61" s="167"/>
      <c r="C61" s="164"/>
      <c r="D61" s="396"/>
      <c r="F61" s="1">
        <f t="shared" si="3"/>
        <v>0</v>
      </c>
    </row>
    <row r="62" spans="1:6" ht="15.75" hidden="1" x14ac:dyDescent="0.25">
      <c r="A62" s="19" t="s">
        <v>495</v>
      </c>
      <c r="B62" s="167"/>
      <c r="C62" s="164"/>
      <c r="D62" s="396"/>
      <c r="F62" s="9">
        <f t="shared" si="3"/>
        <v>0</v>
      </c>
    </row>
    <row r="63" spans="1:6" ht="15.75" hidden="1" x14ac:dyDescent="0.25">
      <c r="A63" s="19" t="s">
        <v>496</v>
      </c>
      <c r="B63" s="167"/>
      <c r="C63" s="164"/>
      <c r="D63" s="396"/>
      <c r="F63" s="9">
        <f t="shared" si="3"/>
        <v>0</v>
      </c>
    </row>
    <row r="64" spans="1:6" ht="14.25" customHeight="1" x14ac:dyDescent="0.25">
      <c r="A64" s="11"/>
      <c r="B64" s="163" t="s">
        <v>303</v>
      </c>
      <c r="C64" s="163" t="s">
        <v>439</v>
      </c>
      <c r="D64" s="166"/>
    </row>
    <row r="65" spans="1:7" ht="15.75" x14ac:dyDescent="0.25">
      <c r="A65" s="19"/>
      <c r="B65" s="170"/>
      <c r="C65" s="168"/>
      <c r="D65" s="679"/>
      <c r="F65" s="1">
        <f>LEN(B65)</f>
        <v>0</v>
      </c>
      <c r="G65" s="1">
        <f>LEN(C65)</f>
        <v>0</v>
      </c>
    </row>
    <row r="66" spans="1:7" ht="15.75" x14ac:dyDescent="0.25">
      <c r="A66" s="19"/>
      <c r="B66" s="170"/>
      <c r="C66" s="168"/>
      <c r="D66" s="679"/>
      <c r="F66" s="1">
        <f t="shared" ref="F66:F129" si="4">LEN(B66)</f>
        <v>0</v>
      </c>
      <c r="G66" s="1">
        <f t="shared" ref="G66:G129" si="5">LEN(C66)</f>
        <v>0</v>
      </c>
    </row>
    <row r="67" spans="1:7" ht="15.75" x14ac:dyDescent="0.25">
      <c r="A67" s="19"/>
      <c r="B67" s="170"/>
      <c r="C67" s="168"/>
      <c r="D67" s="679"/>
      <c r="F67" s="1">
        <f t="shared" si="4"/>
        <v>0</v>
      </c>
      <c r="G67" s="1">
        <f t="shared" si="5"/>
        <v>0</v>
      </c>
    </row>
    <row r="68" spans="1:7" ht="15.75" x14ac:dyDescent="0.25">
      <c r="A68" s="19"/>
      <c r="B68" s="170"/>
      <c r="C68" s="168"/>
      <c r="D68" s="679"/>
      <c r="F68" s="1">
        <f t="shared" si="4"/>
        <v>0</v>
      </c>
      <c r="G68" s="1">
        <f t="shared" si="5"/>
        <v>0</v>
      </c>
    </row>
    <row r="69" spans="1:7" ht="15.75" x14ac:dyDescent="0.25">
      <c r="A69" s="19"/>
      <c r="B69" s="170"/>
      <c r="C69" s="168"/>
      <c r="D69" s="679"/>
      <c r="F69" s="1">
        <f t="shared" si="4"/>
        <v>0</v>
      </c>
      <c r="G69" s="1">
        <f t="shared" si="5"/>
        <v>0</v>
      </c>
    </row>
    <row r="70" spans="1:7" ht="15.75" x14ac:dyDescent="0.25">
      <c r="A70" s="19"/>
      <c r="B70" s="170"/>
      <c r="C70" s="168"/>
      <c r="D70" s="679"/>
      <c r="F70" s="1">
        <f t="shared" si="4"/>
        <v>0</v>
      </c>
      <c r="G70" s="1">
        <f t="shared" si="5"/>
        <v>0</v>
      </c>
    </row>
    <row r="71" spans="1:7" ht="15.75" x14ac:dyDescent="0.25">
      <c r="A71" s="19"/>
      <c r="B71" s="170"/>
      <c r="C71" s="168"/>
      <c r="D71" s="680"/>
      <c r="F71" s="1">
        <f t="shared" si="4"/>
        <v>0</v>
      </c>
      <c r="G71" s="1">
        <f t="shared" si="5"/>
        <v>0</v>
      </c>
    </row>
    <row r="72" spans="1:7" ht="15.75" x14ac:dyDescent="0.25">
      <c r="A72" s="19"/>
      <c r="B72" s="170"/>
      <c r="C72" s="168"/>
      <c r="D72" s="680"/>
      <c r="F72" s="1">
        <f t="shared" si="4"/>
        <v>0</v>
      </c>
      <c r="G72" s="1">
        <f t="shared" si="5"/>
        <v>0</v>
      </c>
    </row>
    <row r="73" spans="1:7" ht="15.75" x14ac:dyDescent="0.25">
      <c r="A73" s="19"/>
      <c r="B73" s="170"/>
      <c r="C73" s="168"/>
      <c r="D73" s="680"/>
      <c r="F73" s="1">
        <f t="shared" si="4"/>
        <v>0</v>
      </c>
      <c r="G73" s="1">
        <f t="shared" si="5"/>
        <v>0</v>
      </c>
    </row>
    <row r="74" spans="1:7" ht="15.75" x14ac:dyDescent="0.25">
      <c r="A74" s="19"/>
      <c r="B74" s="170"/>
      <c r="C74" s="168"/>
      <c r="D74" s="679"/>
      <c r="F74" s="1">
        <f t="shared" si="4"/>
        <v>0</v>
      </c>
      <c r="G74" s="1">
        <f t="shared" si="5"/>
        <v>0</v>
      </c>
    </row>
    <row r="75" spans="1:7" ht="15.75" x14ac:dyDescent="0.25">
      <c r="A75" s="19"/>
      <c r="B75" s="170"/>
      <c r="C75" s="168"/>
      <c r="D75" s="679"/>
      <c r="F75" s="1">
        <f t="shared" si="4"/>
        <v>0</v>
      </c>
      <c r="G75" s="1">
        <f t="shared" si="5"/>
        <v>0</v>
      </c>
    </row>
    <row r="76" spans="1:7" ht="15.75" x14ac:dyDescent="0.25">
      <c r="A76" s="19"/>
      <c r="B76" s="168"/>
      <c r="C76" s="168"/>
      <c r="D76" s="679"/>
      <c r="F76" s="1">
        <f t="shared" si="4"/>
        <v>0</v>
      </c>
      <c r="G76" s="1">
        <f t="shared" si="5"/>
        <v>0</v>
      </c>
    </row>
    <row r="77" spans="1:7" ht="15.75" x14ac:dyDescent="0.25">
      <c r="A77" s="19"/>
      <c r="B77" s="168"/>
      <c r="C77" s="168"/>
      <c r="D77" s="679"/>
      <c r="F77" s="1">
        <f t="shared" si="4"/>
        <v>0</v>
      </c>
      <c r="G77" s="1">
        <f t="shared" si="5"/>
        <v>0</v>
      </c>
    </row>
    <row r="78" spans="1:7" ht="15.75" x14ac:dyDescent="0.25">
      <c r="A78" s="19"/>
      <c r="B78" s="168"/>
      <c r="C78" s="168"/>
      <c r="D78" s="679"/>
      <c r="F78" s="1">
        <f t="shared" si="4"/>
        <v>0</v>
      </c>
      <c r="G78" s="1">
        <f t="shared" si="5"/>
        <v>0</v>
      </c>
    </row>
    <row r="79" spans="1:7" ht="15.75" x14ac:dyDescent="0.25">
      <c r="A79" s="19"/>
      <c r="B79" s="168"/>
      <c r="C79" s="168"/>
      <c r="D79" s="679"/>
      <c r="F79" s="1">
        <f t="shared" si="4"/>
        <v>0</v>
      </c>
      <c r="G79" s="1">
        <f t="shared" si="5"/>
        <v>0</v>
      </c>
    </row>
    <row r="80" spans="1:7" ht="15.75" x14ac:dyDescent="0.25">
      <c r="A80" s="19"/>
      <c r="B80" s="168"/>
      <c r="C80" s="168"/>
      <c r="D80" s="679"/>
      <c r="F80" s="1">
        <f t="shared" si="4"/>
        <v>0</v>
      </c>
      <c r="G80" s="1">
        <f t="shared" si="5"/>
        <v>0</v>
      </c>
    </row>
    <row r="81" spans="1:7" ht="15.75" x14ac:dyDescent="0.25">
      <c r="A81" s="19"/>
      <c r="B81" s="168"/>
      <c r="C81" s="168"/>
      <c r="D81" s="679"/>
      <c r="F81" s="1">
        <f t="shared" si="4"/>
        <v>0</v>
      </c>
      <c r="G81" s="1">
        <f t="shared" si="5"/>
        <v>0</v>
      </c>
    </row>
    <row r="82" spans="1:7" ht="15.75" x14ac:dyDescent="0.25">
      <c r="A82" s="19"/>
      <c r="B82" s="168"/>
      <c r="C82" s="168"/>
      <c r="D82" s="679"/>
      <c r="F82" s="1">
        <f t="shared" si="4"/>
        <v>0</v>
      </c>
      <c r="G82" s="1">
        <f t="shared" si="5"/>
        <v>0</v>
      </c>
    </row>
    <row r="83" spans="1:7" ht="15.75" x14ac:dyDescent="0.25">
      <c r="A83" s="19"/>
      <c r="B83" s="170"/>
      <c r="C83" s="168"/>
      <c r="D83" s="679"/>
      <c r="F83" s="1">
        <f t="shared" si="4"/>
        <v>0</v>
      </c>
      <c r="G83" s="1">
        <f t="shared" si="5"/>
        <v>0</v>
      </c>
    </row>
    <row r="84" spans="1:7" ht="15.75" x14ac:dyDescent="0.25">
      <c r="A84" s="19"/>
      <c r="B84" s="170"/>
      <c r="C84" s="168"/>
      <c r="D84" s="679"/>
      <c r="F84" s="1">
        <f t="shared" si="4"/>
        <v>0</v>
      </c>
      <c r="G84" s="1">
        <f t="shared" si="5"/>
        <v>0</v>
      </c>
    </row>
    <row r="85" spans="1:7" ht="15.75" x14ac:dyDescent="0.25">
      <c r="A85" s="19"/>
      <c r="B85" s="168"/>
      <c r="C85" s="168"/>
      <c r="D85" s="679"/>
      <c r="F85" s="1">
        <f t="shared" si="4"/>
        <v>0</v>
      </c>
      <c r="G85" s="1">
        <f t="shared" si="5"/>
        <v>0</v>
      </c>
    </row>
    <row r="86" spans="1:7" ht="15.75" x14ac:dyDescent="0.25">
      <c r="A86" s="19"/>
      <c r="B86" s="168"/>
      <c r="C86" s="168"/>
      <c r="D86" s="679"/>
      <c r="F86" s="1">
        <f t="shared" si="4"/>
        <v>0</v>
      </c>
      <c r="G86" s="1">
        <f t="shared" si="5"/>
        <v>0</v>
      </c>
    </row>
    <row r="87" spans="1:7" ht="15.75" x14ac:dyDescent="0.25">
      <c r="A87" s="19"/>
      <c r="B87" s="168"/>
      <c r="C87" s="168"/>
      <c r="D87" s="679"/>
      <c r="F87" s="1">
        <f t="shared" si="4"/>
        <v>0</v>
      </c>
      <c r="G87" s="1">
        <f t="shared" si="5"/>
        <v>0</v>
      </c>
    </row>
    <row r="88" spans="1:7" ht="15.75" x14ac:dyDescent="0.25">
      <c r="A88" s="19"/>
      <c r="B88" s="168"/>
      <c r="C88" s="168"/>
      <c r="D88" s="396"/>
      <c r="F88" s="1">
        <f t="shared" si="4"/>
        <v>0</v>
      </c>
      <c r="G88" s="1">
        <f t="shared" si="5"/>
        <v>0</v>
      </c>
    </row>
    <row r="89" spans="1:7" ht="15.75" x14ac:dyDescent="0.25">
      <c r="A89" s="19"/>
      <c r="B89" s="168"/>
      <c r="C89" s="168"/>
      <c r="D89" s="396"/>
      <c r="F89" s="1">
        <f t="shared" si="4"/>
        <v>0</v>
      </c>
      <c r="G89" s="1">
        <f t="shared" si="5"/>
        <v>0</v>
      </c>
    </row>
    <row r="90" spans="1:7" ht="15.75" x14ac:dyDescent="0.25">
      <c r="A90" s="19"/>
      <c r="B90" s="168"/>
      <c r="C90" s="168"/>
      <c r="D90" s="396"/>
      <c r="F90" s="1">
        <f t="shared" si="4"/>
        <v>0</v>
      </c>
      <c r="G90" s="1">
        <f t="shared" si="5"/>
        <v>0</v>
      </c>
    </row>
    <row r="91" spans="1:7" ht="15.75" x14ac:dyDescent="0.25">
      <c r="A91" s="19"/>
      <c r="B91" s="168"/>
      <c r="C91" s="168"/>
      <c r="D91" s="396"/>
      <c r="F91" s="1">
        <f t="shared" si="4"/>
        <v>0</v>
      </c>
      <c r="G91" s="1">
        <f t="shared" si="5"/>
        <v>0</v>
      </c>
    </row>
    <row r="92" spans="1:7" ht="15.75" x14ac:dyDescent="0.25">
      <c r="A92" s="19"/>
      <c r="B92" s="168"/>
      <c r="C92" s="168"/>
      <c r="D92" s="396"/>
      <c r="F92" s="1">
        <f t="shared" si="4"/>
        <v>0</v>
      </c>
      <c r="G92" s="1">
        <f t="shared" si="5"/>
        <v>0</v>
      </c>
    </row>
    <row r="93" spans="1:7" ht="15.75" x14ac:dyDescent="0.25">
      <c r="A93" s="19"/>
      <c r="B93" s="168"/>
      <c r="C93" s="168"/>
      <c r="D93" s="396"/>
      <c r="F93" s="1">
        <f t="shared" si="4"/>
        <v>0</v>
      </c>
      <c r="G93" s="1">
        <f t="shared" si="5"/>
        <v>0</v>
      </c>
    </row>
    <row r="94" spans="1:7" ht="15.75" x14ac:dyDescent="0.25">
      <c r="A94" s="19"/>
      <c r="B94" s="168"/>
      <c r="C94" s="168"/>
      <c r="D94" s="396"/>
      <c r="F94" s="1">
        <f t="shared" si="4"/>
        <v>0</v>
      </c>
      <c r="G94" s="1">
        <f t="shared" si="5"/>
        <v>0</v>
      </c>
    </row>
    <row r="95" spans="1:7" ht="15.75" x14ac:dyDescent="0.25">
      <c r="A95" s="19"/>
      <c r="B95" s="168"/>
      <c r="C95" s="168"/>
      <c r="D95" s="396"/>
      <c r="F95" s="1">
        <f t="shared" si="4"/>
        <v>0</v>
      </c>
      <c r="G95" s="1">
        <f t="shared" si="5"/>
        <v>0</v>
      </c>
    </row>
    <row r="96" spans="1:7" ht="15.75" x14ac:dyDescent="0.25">
      <c r="A96" s="19"/>
      <c r="B96" s="168"/>
      <c r="C96" s="168"/>
      <c r="D96" s="396"/>
      <c r="F96" s="1">
        <f t="shared" si="4"/>
        <v>0</v>
      </c>
      <c r="G96" s="1">
        <f t="shared" si="5"/>
        <v>0</v>
      </c>
    </row>
    <row r="97" spans="1:7" ht="15.75" x14ac:dyDescent="0.25">
      <c r="A97" s="19"/>
      <c r="B97" s="168"/>
      <c r="C97" s="168"/>
      <c r="D97" s="396"/>
      <c r="F97" s="1">
        <f t="shared" si="4"/>
        <v>0</v>
      </c>
      <c r="G97" s="1">
        <f t="shared" si="5"/>
        <v>0</v>
      </c>
    </row>
    <row r="98" spans="1:7" ht="15.75" x14ac:dyDescent="0.25">
      <c r="A98" s="19"/>
      <c r="B98" s="168"/>
      <c r="C98" s="168"/>
      <c r="D98" s="396"/>
      <c r="F98" s="1">
        <f t="shared" si="4"/>
        <v>0</v>
      </c>
      <c r="G98" s="1">
        <f t="shared" si="5"/>
        <v>0</v>
      </c>
    </row>
    <row r="99" spans="1:7" ht="15.75" x14ac:dyDescent="0.25">
      <c r="A99" s="19"/>
      <c r="B99" s="168"/>
      <c r="C99" s="168"/>
      <c r="D99" s="396"/>
      <c r="F99" s="1">
        <f t="shared" si="4"/>
        <v>0</v>
      </c>
      <c r="G99" s="1">
        <f t="shared" si="5"/>
        <v>0</v>
      </c>
    </row>
    <row r="100" spans="1:7" ht="15.75" x14ac:dyDescent="0.25">
      <c r="A100" s="19"/>
      <c r="B100" s="168"/>
      <c r="C100" s="168"/>
      <c r="D100" s="396"/>
      <c r="F100" s="1">
        <f t="shared" si="4"/>
        <v>0</v>
      </c>
      <c r="G100" s="1">
        <f t="shared" si="5"/>
        <v>0</v>
      </c>
    </row>
    <row r="101" spans="1:7" ht="15.75" x14ac:dyDescent="0.25">
      <c r="A101" s="19"/>
      <c r="B101" s="168"/>
      <c r="C101" s="168"/>
      <c r="D101" s="396"/>
      <c r="F101" s="1">
        <f t="shared" si="4"/>
        <v>0</v>
      </c>
      <c r="G101" s="1">
        <f t="shared" si="5"/>
        <v>0</v>
      </c>
    </row>
    <row r="102" spans="1:7" ht="15.75" x14ac:dyDescent="0.25">
      <c r="A102" s="19"/>
      <c r="B102" s="168"/>
      <c r="C102" s="168"/>
      <c r="D102" s="396"/>
      <c r="F102" s="1">
        <f t="shared" si="4"/>
        <v>0</v>
      </c>
      <c r="G102" s="1">
        <f t="shared" si="5"/>
        <v>0</v>
      </c>
    </row>
    <row r="103" spans="1:7" ht="15.75" x14ac:dyDescent="0.25">
      <c r="A103" s="19"/>
      <c r="B103" s="168"/>
      <c r="C103" s="168"/>
      <c r="D103" s="396"/>
      <c r="F103" s="1">
        <f t="shared" si="4"/>
        <v>0</v>
      </c>
      <c r="G103" s="1">
        <f t="shared" si="5"/>
        <v>0</v>
      </c>
    </row>
    <row r="104" spans="1:7" ht="15.75" x14ac:dyDescent="0.25">
      <c r="A104" s="19"/>
      <c r="B104" s="168"/>
      <c r="C104" s="168"/>
      <c r="D104" s="396"/>
      <c r="F104" s="1">
        <f t="shared" si="4"/>
        <v>0</v>
      </c>
      <c r="G104" s="1">
        <f t="shared" si="5"/>
        <v>0</v>
      </c>
    </row>
    <row r="105" spans="1:7" ht="15.75" x14ac:dyDescent="0.25">
      <c r="A105" s="19"/>
      <c r="B105" s="168"/>
      <c r="C105" s="168"/>
      <c r="D105" s="396"/>
      <c r="F105" s="1">
        <f t="shared" si="4"/>
        <v>0</v>
      </c>
      <c r="G105" s="1">
        <f t="shared" si="5"/>
        <v>0</v>
      </c>
    </row>
    <row r="106" spans="1:7" ht="15.75" x14ac:dyDescent="0.25">
      <c r="A106" s="19"/>
      <c r="B106" s="168"/>
      <c r="C106" s="168"/>
      <c r="D106" s="396"/>
      <c r="F106" s="1">
        <f t="shared" si="4"/>
        <v>0</v>
      </c>
      <c r="G106" s="1">
        <f t="shared" si="5"/>
        <v>0</v>
      </c>
    </row>
    <row r="107" spans="1:7" ht="15.75" x14ac:dyDescent="0.25">
      <c r="A107" s="19"/>
      <c r="B107" s="168"/>
      <c r="C107" s="168"/>
      <c r="D107" s="396"/>
      <c r="F107" s="1">
        <f t="shared" si="4"/>
        <v>0</v>
      </c>
      <c r="G107" s="1">
        <f t="shared" si="5"/>
        <v>0</v>
      </c>
    </row>
    <row r="108" spans="1:7" ht="15.75" x14ac:dyDescent="0.25">
      <c r="A108" s="19"/>
      <c r="B108" s="168"/>
      <c r="C108" s="168"/>
      <c r="D108" s="396"/>
      <c r="F108" s="1">
        <f t="shared" si="4"/>
        <v>0</v>
      </c>
      <c r="G108" s="1">
        <f t="shared" si="5"/>
        <v>0</v>
      </c>
    </row>
    <row r="109" spans="1:7" ht="15.75" x14ac:dyDescent="0.25">
      <c r="A109" s="19"/>
      <c r="B109" s="168"/>
      <c r="C109" s="168"/>
      <c r="D109" s="396"/>
      <c r="F109" s="1">
        <f t="shared" si="4"/>
        <v>0</v>
      </c>
      <c r="G109" s="1">
        <f t="shared" si="5"/>
        <v>0</v>
      </c>
    </row>
    <row r="110" spans="1:7" ht="15.75" x14ac:dyDescent="0.25">
      <c r="A110" s="19"/>
      <c r="B110" s="168"/>
      <c r="C110" s="168"/>
      <c r="D110" s="396"/>
      <c r="F110" s="1">
        <f t="shared" si="4"/>
        <v>0</v>
      </c>
      <c r="G110" s="1">
        <f t="shared" si="5"/>
        <v>0</v>
      </c>
    </row>
    <row r="111" spans="1:7" ht="15.75" x14ac:dyDescent="0.25">
      <c r="A111" s="19"/>
      <c r="B111" s="168"/>
      <c r="C111" s="168"/>
      <c r="D111" s="396"/>
      <c r="F111" s="1">
        <f t="shared" si="4"/>
        <v>0</v>
      </c>
      <c r="G111" s="1">
        <f t="shared" si="5"/>
        <v>0</v>
      </c>
    </row>
    <row r="112" spans="1:7" ht="15.75" x14ac:dyDescent="0.25">
      <c r="A112" s="19"/>
      <c r="B112" s="168"/>
      <c r="C112" s="168"/>
      <c r="D112" s="396"/>
      <c r="F112" s="1">
        <f t="shared" si="4"/>
        <v>0</v>
      </c>
      <c r="G112" s="1">
        <f t="shared" si="5"/>
        <v>0</v>
      </c>
    </row>
    <row r="113" spans="1:7" ht="15.75" x14ac:dyDescent="0.25">
      <c r="A113" s="19"/>
      <c r="B113" s="168"/>
      <c r="C113" s="168"/>
      <c r="D113" s="396"/>
      <c r="F113" s="1">
        <f t="shared" si="4"/>
        <v>0</v>
      </c>
      <c r="G113" s="1">
        <f t="shared" si="5"/>
        <v>0</v>
      </c>
    </row>
    <row r="114" spans="1:7" ht="15.75" x14ac:dyDescent="0.25">
      <c r="A114" s="19"/>
      <c r="B114" s="168"/>
      <c r="C114" s="168"/>
      <c r="D114" s="396"/>
      <c r="F114" s="1">
        <f t="shared" si="4"/>
        <v>0</v>
      </c>
      <c r="G114" s="1">
        <f t="shared" si="5"/>
        <v>0</v>
      </c>
    </row>
    <row r="115" spans="1:7" ht="15.75" x14ac:dyDescent="0.25">
      <c r="A115" s="19"/>
      <c r="B115" s="168"/>
      <c r="C115" s="168"/>
      <c r="D115" s="396"/>
      <c r="F115" s="1">
        <f t="shared" si="4"/>
        <v>0</v>
      </c>
      <c r="G115" s="1">
        <f t="shared" si="5"/>
        <v>0</v>
      </c>
    </row>
    <row r="116" spans="1:7" ht="15.75" x14ac:dyDescent="0.25">
      <c r="A116" s="19"/>
      <c r="B116" s="168"/>
      <c r="C116" s="168"/>
      <c r="D116" s="396"/>
      <c r="F116" s="1">
        <f t="shared" si="4"/>
        <v>0</v>
      </c>
      <c r="G116" s="1">
        <f t="shared" si="5"/>
        <v>0</v>
      </c>
    </row>
    <row r="117" spans="1:7" ht="15.75" x14ac:dyDescent="0.25">
      <c r="A117" s="19"/>
      <c r="B117" s="168"/>
      <c r="C117" s="168"/>
      <c r="D117" s="396"/>
      <c r="F117" s="1">
        <f t="shared" si="4"/>
        <v>0</v>
      </c>
      <c r="G117" s="1">
        <f t="shared" si="5"/>
        <v>0</v>
      </c>
    </row>
    <row r="118" spans="1:7" ht="15.75" x14ac:dyDescent="0.25">
      <c r="A118" s="19"/>
      <c r="B118" s="168"/>
      <c r="C118" s="168"/>
      <c r="D118" s="396"/>
      <c r="F118" s="1">
        <f t="shared" si="4"/>
        <v>0</v>
      </c>
      <c r="G118" s="1">
        <f t="shared" si="5"/>
        <v>0</v>
      </c>
    </row>
    <row r="119" spans="1:7" ht="15.75" x14ac:dyDescent="0.25">
      <c r="A119" s="19"/>
      <c r="B119" s="168"/>
      <c r="C119" s="168"/>
      <c r="D119" s="396"/>
      <c r="F119" s="1">
        <f t="shared" si="4"/>
        <v>0</v>
      </c>
      <c r="G119" s="1">
        <f t="shared" si="5"/>
        <v>0</v>
      </c>
    </row>
    <row r="120" spans="1:7" ht="15.75" x14ac:dyDescent="0.25">
      <c r="A120" s="19"/>
      <c r="B120" s="168"/>
      <c r="C120" s="168"/>
      <c r="D120" s="396"/>
      <c r="F120" s="1">
        <f t="shared" si="4"/>
        <v>0</v>
      </c>
      <c r="G120" s="1">
        <f t="shared" si="5"/>
        <v>0</v>
      </c>
    </row>
    <row r="121" spans="1:7" ht="15.75" x14ac:dyDescent="0.25">
      <c r="A121" s="19"/>
      <c r="B121" s="168"/>
      <c r="C121" s="168"/>
      <c r="D121" s="396"/>
      <c r="F121" s="1">
        <f t="shared" si="4"/>
        <v>0</v>
      </c>
      <c r="G121" s="1">
        <f t="shared" si="5"/>
        <v>0</v>
      </c>
    </row>
    <row r="122" spans="1:7" ht="15.75" x14ac:dyDescent="0.25">
      <c r="A122" s="19"/>
      <c r="B122" s="168"/>
      <c r="C122" s="168"/>
      <c r="D122" s="396"/>
      <c r="F122" s="1">
        <f t="shared" si="4"/>
        <v>0</v>
      </c>
      <c r="G122" s="1">
        <f t="shared" si="5"/>
        <v>0</v>
      </c>
    </row>
    <row r="123" spans="1:7" ht="15.75" x14ac:dyDescent="0.25">
      <c r="A123" s="19"/>
      <c r="B123" s="168"/>
      <c r="C123" s="168"/>
      <c r="D123" s="396"/>
      <c r="F123" s="1">
        <f t="shared" si="4"/>
        <v>0</v>
      </c>
      <c r="G123" s="1">
        <f t="shared" si="5"/>
        <v>0</v>
      </c>
    </row>
    <row r="124" spans="1:7" ht="15.75" x14ac:dyDescent="0.25">
      <c r="A124" s="19"/>
      <c r="B124" s="168"/>
      <c r="C124" s="168"/>
      <c r="D124" s="396"/>
      <c r="F124" s="1">
        <f t="shared" si="4"/>
        <v>0</v>
      </c>
      <c r="G124" s="1">
        <f t="shared" si="5"/>
        <v>0</v>
      </c>
    </row>
    <row r="125" spans="1:7" ht="15.75" x14ac:dyDescent="0.25">
      <c r="A125" s="19"/>
      <c r="B125" s="168"/>
      <c r="C125" s="168"/>
      <c r="D125" s="396"/>
      <c r="F125" s="1">
        <f t="shared" si="4"/>
        <v>0</v>
      </c>
      <c r="G125" s="1">
        <f t="shared" si="5"/>
        <v>0</v>
      </c>
    </row>
    <row r="126" spans="1:7" ht="15.75" x14ac:dyDescent="0.25">
      <c r="A126" s="19"/>
      <c r="B126" s="168"/>
      <c r="C126" s="168"/>
      <c r="D126" s="396"/>
      <c r="F126" s="1">
        <f t="shared" si="4"/>
        <v>0</v>
      </c>
      <c r="G126" s="1">
        <f t="shared" si="5"/>
        <v>0</v>
      </c>
    </row>
    <row r="127" spans="1:7" ht="15.75" x14ac:dyDescent="0.25">
      <c r="A127" s="19"/>
      <c r="B127" s="168"/>
      <c r="C127" s="168"/>
      <c r="D127" s="396"/>
      <c r="F127" s="1">
        <f t="shared" si="4"/>
        <v>0</v>
      </c>
      <c r="G127" s="1">
        <f t="shared" si="5"/>
        <v>0</v>
      </c>
    </row>
    <row r="128" spans="1:7" ht="15.75" x14ac:dyDescent="0.25">
      <c r="A128" s="19"/>
      <c r="B128" s="168"/>
      <c r="C128" s="168"/>
      <c r="D128" s="396"/>
      <c r="F128" s="1">
        <f t="shared" si="4"/>
        <v>0</v>
      </c>
      <c r="G128" s="1">
        <f t="shared" si="5"/>
        <v>0</v>
      </c>
    </row>
    <row r="129" spans="1:7" ht="15.75" x14ac:dyDescent="0.25">
      <c r="A129" s="19"/>
      <c r="B129" s="168"/>
      <c r="C129" s="168"/>
      <c r="D129" s="396"/>
      <c r="F129" s="1">
        <f t="shared" si="4"/>
        <v>0</v>
      </c>
      <c r="G129" s="1">
        <f t="shared" si="5"/>
        <v>0</v>
      </c>
    </row>
    <row r="130" spans="1:7" ht="15.75" x14ac:dyDescent="0.25">
      <c r="A130" s="19"/>
      <c r="B130" s="168"/>
      <c r="C130" s="168"/>
      <c r="D130" s="396"/>
      <c r="F130" s="1">
        <f t="shared" ref="F130:F373" si="6">LEN(B130)</f>
        <v>0</v>
      </c>
      <c r="G130" s="1">
        <f t="shared" ref="G130:G373" si="7">LEN(C130)</f>
        <v>0</v>
      </c>
    </row>
    <row r="131" spans="1:7" ht="15.75" x14ac:dyDescent="0.25">
      <c r="A131" s="19"/>
      <c r="B131" s="168"/>
      <c r="C131" s="168"/>
      <c r="D131" s="396"/>
      <c r="F131" s="1">
        <f t="shared" si="6"/>
        <v>0</v>
      </c>
      <c r="G131" s="1">
        <f t="shared" si="7"/>
        <v>0</v>
      </c>
    </row>
    <row r="132" spans="1:7" ht="15.75" x14ac:dyDescent="0.25">
      <c r="A132" s="19"/>
      <c r="B132" s="168"/>
      <c r="C132" s="168"/>
      <c r="D132" s="396"/>
      <c r="F132" s="1">
        <f t="shared" si="6"/>
        <v>0</v>
      </c>
      <c r="G132" s="1">
        <f t="shared" si="7"/>
        <v>0</v>
      </c>
    </row>
    <row r="133" spans="1:7" ht="15.75" x14ac:dyDescent="0.25">
      <c r="A133" s="19"/>
      <c r="B133" s="168"/>
      <c r="C133" s="168"/>
      <c r="D133" s="396"/>
      <c r="F133" s="1">
        <f t="shared" si="6"/>
        <v>0</v>
      </c>
      <c r="G133" s="1">
        <f t="shared" si="7"/>
        <v>0</v>
      </c>
    </row>
    <row r="134" spans="1:7" ht="15.75" x14ac:dyDescent="0.25">
      <c r="A134" s="19"/>
      <c r="B134" s="168"/>
      <c r="C134" s="168"/>
      <c r="D134" s="396"/>
      <c r="F134" s="1">
        <f t="shared" si="6"/>
        <v>0</v>
      </c>
      <c r="G134" s="1">
        <f t="shared" si="7"/>
        <v>0</v>
      </c>
    </row>
    <row r="135" spans="1:7" ht="15.75" x14ac:dyDescent="0.25">
      <c r="A135" s="19"/>
      <c r="B135" s="168"/>
      <c r="C135" s="168"/>
      <c r="D135" s="396"/>
      <c r="F135" s="1">
        <f t="shared" si="6"/>
        <v>0</v>
      </c>
      <c r="G135" s="1">
        <f t="shared" si="7"/>
        <v>0</v>
      </c>
    </row>
    <row r="136" spans="1:7" ht="15.75" x14ac:dyDescent="0.25">
      <c r="A136" s="19"/>
      <c r="B136" s="168"/>
      <c r="C136" s="168"/>
      <c r="D136" s="396"/>
      <c r="F136" s="1">
        <f t="shared" si="6"/>
        <v>0</v>
      </c>
      <c r="G136" s="1">
        <f t="shared" si="7"/>
        <v>0</v>
      </c>
    </row>
    <row r="137" spans="1:7" ht="15.75" x14ac:dyDescent="0.25">
      <c r="A137" s="19"/>
      <c r="B137" s="168"/>
      <c r="C137" s="168"/>
      <c r="D137" s="396"/>
      <c r="F137" s="1">
        <f t="shared" si="6"/>
        <v>0</v>
      </c>
      <c r="G137" s="1">
        <f t="shared" si="7"/>
        <v>0</v>
      </c>
    </row>
    <row r="138" spans="1:7" ht="15.75" x14ac:dyDescent="0.25">
      <c r="A138" s="19"/>
      <c r="B138" s="168"/>
      <c r="C138" s="168"/>
      <c r="D138" s="396"/>
      <c r="F138" s="1">
        <f t="shared" si="6"/>
        <v>0</v>
      </c>
      <c r="G138" s="1">
        <f t="shared" si="7"/>
        <v>0</v>
      </c>
    </row>
    <row r="139" spans="1:7" ht="15.75" x14ac:dyDescent="0.25">
      <c r="A139" s="19"/>
      <c r="B139" s="168"/>
      <c r="C139" s="168"/>
      <c r="D139" s="396"/>
      <c r="F139" s="1">
        <f t="shared" si="6"/>
        <v>0</v>
      </c>
      <c r="G139" s="1">
        <f t="shared" si="7"/>
        <v>0</v>
      </c>
    </row>
    <row r="140" spans="1:7" ht="15.75" x14ac:dyDescent="0.25">
      <c r="A140" s="19"/>
      <c r="B140" s="168"/>
      <c r="C140" s="168"/>
      <c r="D140" s="396"/>
      <c r="F140" s="1">
        <f t="shared" si="6"/>
        <v>0</v>
      </c>
      <c r="G140" s="1">
        <f t="shared" si="7"/>
        <v>0</v>
      </c>
    </row>
    <row r="141" spans="1:7" ht="15.75" x14ac:dyDescent="0.25">
      <c r="A141" s="19"/>
      <c r="B141" s="168"/>
      <c r="C141" s="168"/>
      <c r="D141" s="396"/>
      <c r="F141" s="1">
        <f t="shared" si="6"/>
        <v>0</v>
      </c>
      <c r="G141" s="1">
        <f t="shared" si="7"/>
        <v>0</v>
      </c>
    </row>
    <row r="142" spans="1:7" ht="15.75" x14ac:dyDescent="0.25">
      <c r="A142" s="19"/>
      <c r="B142" s="168"/>
      <c r="C142" s="168"/>
      <c r="D142" s="396"/>
      <c r="F142" s="1">
        <f t="shared" si="6"/>
        <v>0</v>
      </c>
      <c r="G142" s="1">
        <f t="shared" si="7"/>
        <v>0</v>
      </c>
    </row>
    <row r="143" spans="1:7" ht="15.75" x14ac:dyDescent="0.25">
      <c r="A143" s="19"/>
      <c r="B143" s="168"/>
      <c r="C143" s="168"/>
      <c r="D143" s="396"/>
      <c r="F143" s="1">
        <f t="shared" si="6"/>
        <v>0</v>
      </c>
      <c r="G143" s="1">
        <f t="shared" si="7"/>
        <v>0</v>
      </c>
    </row>
    <row r="144" spans="1:7" ht="15.75" x14ac:dyDescent="0.25">
      <c r="A144" s="19"/>
      <c r="B144" s="168"/>
      <c r="C144" s="168"/>
      <c r="D144" s="396"/>
      <c r="F144" s="1">
        <f t="shared" si="6"/>
        <v>0</v>
      </c>
      <c r="G144" s="1">
        <f t="shared" si="7"/>
        <v>0</v>
      </c>
    </row>
    <row r="145" spans="1:7" ht="15.75" x14ac:dyDescent="0.25">
      <c r="A145" s="19"/>
      <c r="B145" s="168"/>
      <c r="C145" s="168"/>
      <c r="D145" s="396"/>
      <c r="F145" s="1">
        <f t="shared" si="6"/>
        <v>0</v>
      </c>
      <c r="G145" s="1">
        <f t="shared" si="7"/>
        <v>0</v>
      </c>
    </row>
    <row r="146" spans="1:7" ht="15.75" x14ac:dyDescent="0.25">
      <c r="A146" s="19"/>
      <c r="B146" s="168"/>
      <c r="C146" s="168"/>
      <c r="D146" s="396"/>
      <c r="F146" s="1">
        <f t="shared" si="6"/>
        <v>0</v>
      </c>
      <c r="G146" s="1">
        <f t="shared" si="7"/>
        <v>0</v>
      </c>
    </row>
    <row r="147" spans="1:7" ht="15.75" x14ac:dyDescent="0.25">
      <c r="A147" s="19"/>
      <c r="B147" s="168"/>
      <c r="C147" s="168"/>
      <c r="D147" s="396"/>
      <c r="F147" s="1">
        <f t="shared" si="6"/>
        <v>0</v>
      </c>
      <c r="G147" s="1">
        <f t="shared" si="7"/>
        <v>0</v>
      </c>
    </row>
    <row r="148" spans="1:7" ht="15.75" x14ac:dyDescent="0.25">
      <c r="A148" s="19"/>
      <c r="B148" s="168"/>
      <c r="C148" s="168"/>
      <c r="D148" s="396"/>
      <c r="F148" s="1">
        <f t="shared" si="6"/>
        <v>0</v>
      </c>
      <c r="G148" s="1">
        <f t="shared" si="7"/>
        <v>0</v>
      </c>
    </row>
    <row r="149" spans="1:7" ht="15.75" x14ac:dyDescent="0.25">
      <c r="A149" s="19"/>
      <c r="B149" s="168"/>
      <c r="C149" s="168"/>
      <c r="D149" s="396"/>
      <c r="F149" s="1">
        <f t="shared" si="6"/>
        <v>0</v>
      </c>
      <c r="G149" s="1">
        <f t="shared" si="7"/>
        <v>0</v>
      </c>
    </row>
    <row r="150" spans="1:7" ht="15.75" x14ac:dyDescent="0.25">
      <c r="A150" s="19"/>
      <c r="B150" s="168"/>
      <c r="C150" s="168"/>
      <c r="D150" s="396"/>
      <c r="F150" s="1">
        <f t="shared" si="6"/>
        <v>0</v>
      </c>
      <c r="G150" s="1">
        <f t="shared" si="7"/>
        <v>0</v>
      </c>
    </row>
    <row r="151" spans="1:7" ht="15.75" x14ac:dyDescent="0.25">
      <c r="A151" s="19"/>
      <c r="B151" s="168"/>
      <c r="C151" s="168"/>
      <c r="D151" s="396"/>
      <c r="F151" s="1">
        <f t="shared" si="6"/>
        <v>0</v>
      </c>
      <c r="G151" s="1">
        <f t="shared" si="7"/>
        <v>0</v>
      </c>
    </row>
    <row r="152" spans="1:7" ht="15.75" x14ac:dyDescent="0.25">
      <c r="A152" s="19"/>
      <c r="B152" s="168"/>
      <c r="C152" s="168"/>
      <c r="D152" s="396"/>
      <c r="F152" s="1">
        <f t="shared" si="6"/>
        <v>0</v>
      </c>
      <c r="G152" s="1">
        <f t="shared" si="7"/>
        <v>0</v>
      </c>
    </row>
    <row r="153" spans="1:7" ht="15.75" x14ac:dyDescent="0.25">
      <c r="A153" s="19"/>
      <c r="B153" s="168"/>
      <c r="C153" s="168"/>
      <c r="D153" s="396"/>
      <c r="F153" s="1">
        <f t="shared" si="6"/>
        <v>0</v>
      </c>
      <c r="G153" s="1">
        <f t="shared" si="7"/>
        <v>0</v>
      </c>
    </row>
    <row r="154" spans="1:7" ht="15.75" x14ac:dyDescent="0.25">
      <c r="A154" s="19"/>
      <c r="B154" s="168"/>
      <c r="C154" s="168"/>
      <c r="D154" s="396"/>
      <c r="F154" s="1">
        <f t="shared" si="6"/>
        <v>0</v>
      </c>
      <c r="G154" s="1">
        <f t="shared" si="7"/>
        <v>0</v>
      </c>
    </row>
    <row r="155" spans="1:7" ht="15.75" x14ac:dyDescent="0.25">
      <c r="A155" s="19"/>
      <c r="B155" s="168"/>
      <c r="C155" s="168"/>
      <c r="D155" s="396"/>
      <c r="F155" s="1">
        <f t="shared" si="6"/>
        <v>0</v>
      </c>
      <c r="G155" s="1">
        <f t="shared" si="7"/>
        <v>0</v>
      </c>
    </row>
    <row r="156" spans="1:7" ht="15.75" x14ac:dyDescent="0.25">
      <c r="A156" s="19"/>
      <c r="B156" s="168"/>
      <c r="C156" s="168"/>
      <c r="D156" s="396"/>
      <c r="F156" s="1">
        <f t="shared" si="6"/>
        <v>0</v>
      </c>
      <c r="G156" s="1">
        <f t="shared" si="7"/>
        <v>0</v>
      </c>
    </row>
    <row r="157" spans="1:7" ht="15.75" x14ac:dyDescent="0.25">
      <c r="A157" s="19"/>
      <c r="B157" s="168"/>
      <c r="C157" s="168"/>
      <c r="D157" s="396"/>
      <c r="F157" s="1">
        <f t="shared" si="6"/>
        <v>0</v>
      </c>
      <c r="G157" s="1">
        <f t="shared" si="7"/>
        <v>0</v>
      </c>
    </row>
    <row r="158" spans="1:7" ht="15.75" x14ac:dyDescent="0.25">
      <c r="A158" s="19"/>
      <c r="B158" s="168"/>
      <c r="C158" s="168"/>
      <c r="D158" s="396"/>
      <c r="F158" s="1">
        <f t="shared" si="6"/>
        <v>0</v>
      </c>
      <c r="G158" s="1">
        <f t="shared" si="7"/>
        <v>0</v>
      </c>
    </row>
    <row r="159" spans="1:7" ht="15.75" x14ac:dyDescent="0.25">
      <c r="A159" s="19"/>
      <c r="B159" s="168"/>
      <c r="C159" s="168"/>
      <c r="D159" s="396"/>
      <c r="F159" s="1">
        <f t="shared" ref="F159:F212" si="8">LEN(B159)</f>
        <v>0</v>
      </c>
      <c r="G159" s="1">
        <f t="shared" ref="G159:G212" si="9">LEN(C159)</f>
        <v>0</v>
      </c>
    </row>
    <row r="160" spans="1:7" ht="15.75" x14ac:dyDescent="0.25">
      <c r="A160" s="19"/>
      <c r="B160" s="168"/>
      <c r="C160" s="168"/>
      <c r="D160" s="396"/>
      <c r="F160" s="1">
        <f t="shared" si="8"/>
        <v>0</v>
      </c>
      <c r="G160" s="1">
        <f t="shared" si="9"/>
        <v>0</v>
      </c>
    </row>
    <row r="161" spans="1:7" ht="15.75" x14ac:dyDescent="0.25">
      <c r="A161" s="19"/>
      <c r="B161" s="168"/>
      <c r="C161" s="168"/>
      <c r="D161" s="396"/>
      <c r="F161" s="1">
        <f t="shared" si="8"/>
        <v>0</v>
      </c>
      <c r="G161" s="1">
        <f t="shared" si="9"/>
        <v>0</v>
      </c>
    </row>
    <row r="162" spans="1:7" ht="15.75" x14ac:dyDescent="0.25">
      <c r="A162" s="19"/>
      <c r="B162" s="168"/>
      <c r="C162" s="168"/>
      <c r="D162" s="396"/>
      <c r="F162" s="1">
        <f t="shared" si="8"/>
        <v>0</v>
      </c>
      <c r="G162" s="1">
        <f t="shared" si="9"/>
        <v>0</v>
      </c>
    </row>
    <row r="163" spans="1:7" ht="15.75" x14ac:dyDescent="0.25">
      <c r="A163" s="19"/>
      <c r="B163" s="168"/>
      <c r="C163" s="168"/>
      <c r="D163" s="396"/>
      <c r="F163" s="1">
        <f t="shared" si="8"/>
        <v>0</v>
      </c>
      <c r="G163" s="1">
        <f t="shared" si="9"/>
        <v>0</v>
      </c>
    </row>
    <row r="164" spans="1:7" ht="15.75" x14ac:dyDescent="0.25">
      <c r="A164" s="19"/>
      <c r="B164" s="168"/>
      <c r="C164" s="168"/>
      <c r="D164" s="396"/>
      <c r="F164" s="1">
        <f t="shared" si="8"/>
        <v>0</v>
      </c>
      <c r="G164" s="1">
        <f t="shared" si="9"/>
        <v>0</v>
      </c>
    </row>
    <row r="165" spans="1:7" ht="15.75" x14ac:dyDescent="0.25">
      <c r="A165" s="19"/>
      <c r="B165" s="168"/>
      <c r="C165" s="168"/>
      <c r="D165" s="396"/>
      <c r="F165" s="1">
        <f t="shared" si="8"/>
        <v>0</v>
      </c>
      <c r="G165" s="1">
        <f t="shared" si="9"/>
        <v>0</v>
      </c>
    </row>
    <row r="166" spans="1:7" ht="15.75" x14ac:dyDescent="0.25">
      <c r="A166" s="19"/>
      <c r="B166" s="168"/>
      <c r="C166" s="168"/>
      <c r="D166" s="396"/>
      <c r="F166" s="1">
        <f t="shared" si="8"/>
        <v>0</v>
      </c>
      <c r="G166" s="1">
        <f t="shared" si="9"/>
        <v>0</v>
      </c>
    </row>
    <row r="167" spans="1:7" ht="15.75" x14ac:dyDescent="0.25">
      <c r="A167" s="19"/>
      <c r="B167" s="168"/>
      <c r="C167" s="168"/>
      <c r="D167" s="396"/>
      <c r="F167" s="1">
        <f t="shared" si="8"/>
        <v>0</v>
      </c>
      <c r="G167" s="1">
        <f t="shared" si="9"/>
        <v>0</v>
      </c>
    </row>
    <row r="168" spans="1:7" ht="15.75" x14ac:dyDescent="0.25">
      <c r="A168" s="19"/>
      <c r="B168" s="168"/>
      <c r="C168" s="168"/>
      <c r="D168" s="396"/>
      <c r="F168" s="1">
        <f t="shared" si="8"/>
        <v>0</v>
      </c>
      <c r="G168" s="1">
        <f t="shared" si="9"/>
        <v>0</v>
      </c>
    </row>
    <row r="169" spans="1:7" ht="15.75" x14ac:dyDescent="0.25">
      <c r="A169" s="19"/>
      <c r="B169" s="168"/>
      <c r="C169" s="168"/>
      <c r="D169" s="396"/>
      <c r="F169" s="1">
        <f t="shared" si="8"/>
        <v>0</v>
      </c>
      <c r="G169" s="1">
        <f t="shared" si="9"/>
        <v>0</v>
      </c>
    </row>
    <row r="170" spans="1:7" ht="15.75" x14ac:dyDescent="0.25">
      <c r="A170" s="19"/>
      <c r="B170" s="168"/>
      <c r="C170" s="168"/>
      <c r="D170" s="396"/>
      <c r="F170" s="1">
        <f t="shared" si="8"/>
        <v>0</v>
      </c>
      <c r="G170" s="1">
        <f t="shared" si="9"/>
        <v>0</v>
      </c>
    </row>
    <row r="171" spans="1:7" ht="15.75" x14ac:dyDescent="0.25">
      <c r="A171" s="19"/>
      <c r="B171" s="168"/>
      <c r="C171" s="168"/>
      <c r="D171" s="396"/>
      <c r="F171" s="1">
        <f t="shared" si="8"/>
        <v>0</v>
      </c>
      <c r="G171" s="1">
        <f t="shared" si="9"/>
        <v>0</v>
      </c>
    </row>
    <row r="172" spans="1:7" ht="15.75" x14ac:dyDescent="0.25">
      <c r="A172" s="19"/>
      <c r="B172" s="168"/>
      <c r="C172" s="168"/>
      <c r="D172" s="396"/>
      <c r="F172" s="1">
        <f t="shared" si="8"/>
        <v>0</v>
      </c>
      <c r="G172" s="1">
        <f t="shared" si="9"/>
        <v>0</v>
      </c>
    </row>
    <row r="173" spans="1:7" ht="15.75" x14ac:dyDescent="0.25">
      <c r="A173" s="19"/>
      <c r="B173" s="168"/>
      <c r="C173" s="168"/>
      <c r="D173" s="396"/>
      <c r="F173" s="1">
        <f t="shared" si="8"/>
        <v>0</v>
      </c>
      <c r="G173" s="1">
        <f t="shared" si="9"/>
        <v>0</v>
      </c>
    </row>
    <row r="174" spans="1:7" ht="15.75" x14ac:dyDescent="0.25">
      <c r="A174" s="19"/>
      <c r="B174" s="168"/>
      <c r="C174" s="168"/>
      <c r="D174" s="396"/>
      <c r="F174" s="1">
        <f t="shared" si="8"/>
        <v>0</v>
      </c>
      <c r="G174" s="1">
        <f t="shared" si="9"/>
        <v>0</v>
      </c>
    </row>
    <row r="175" spans="1:7" ht="15.75" x14ac:dyDescent="0.25">
      <c r="A175" s="19"/>
      <c r="B175" s="168"/>
      <c r="C175" s="168"/>
      <c r="D175" s="396"/>
      <c r="F175" s="1">
        <f t="shared" si="8"/>
        <v>0</v>
      </c>
      <c r="G175" s="1">
        <f t="shared" si="9"/>
        <v>0</v>
      </c>
    </row>
    <row r="176" spans="1:7" ht="15.75" x14ac:dyDescent="0.25">
      <c r="A176" s="19"/>
      <c r="B176" s="168"/>
      <c r="C176" s="168"/>
      <c r="D176" s="396"/>
      <c r="F176" s="1">
        <f t="shared" si="8"/>
        <v>0</v>
      </c>
      <c r="G176" s="1">
        <f t="shared" si="9"/>
        <v>0</v>
      </c>
    </row>
    <row r="177" spans="1:7" ht="15.75" x14ac:dyDescent="0.25">
      <c r="A177" s="19"/>
      <c r="B177" s="168"/>
      <c r="C177" s="168"/>
      <c r="D177" s="396"/>
      <c r="F177" s="1">
        <f t="shared" si="8"/>
        <v>0</v>
      </c>
      <c r="G177" s="1">
        <f t="shared" si="9"/>
        <v>0</v>
      </c>
    </row>
    <row r="178" spans="1:7" ht="15.75" x14ac:dyDescent="0.25">
      <c r="A178" s="19"/>
      <c r="B178" s="168"/>
      <c r="C178" s="168"/>
      <c r="D178" s="396"/>
      <c r="F178" s="1">
        <f t="shared" si="8"/>
        <v>0</v>
      </c>
      <c r="G178" s="1">
        <f t="shared" si="9"/>
        <v>0</v>
      </c>
    </row>
    <row r="179" spans="1:7" ht="15.75" x14ac:dyDescent="0.25">
      <c r="A179" s="19"/>
      <c r="B179" s="168"/>
      <c r="C179" s="168"/>
      <c r="D179" s="396"/>
      <c r="F179" s="1">
        <f t="shared" si="8"/>
        <v>0</v>
      </c>
      <c r="G179" s="1">
        <f t="shared" si="9"/>
        <v>0</v>
      </c>
    </row>
    <row r="180" spans="1:7" ht="15.75" x14ac:dyDescent="0.25">
      <c r="A180" s="19"/>
      <c r="B180" s="168"/>
      <c r="C180" s="168"/>
      <c r="D180" s="396"/>
      <c r="F180" s="1">
        <f t="shared" si="8"/>
        <v>0</v>
      </c>
      <c r="G180" s="1">
        <f t="shared" si="9"/>
        <v>0</v>
      </c>
    </row>
    <row r="181" spans="1:7" ht="15.75" x14ac:dyDescent="0.25">
      <c r="A181" s="19"/>
      <c r="B181" s="168"/>
      <c r="C181" s="168"/>
      <c r="D181" s="396"/>
      <c r="F181" s="1">
        <f t="shared" si="8"/>
        <v>0</v>
      </c>
      <c r="G181" s="1">
        <f t="shared" si="9"/>
        <v>0</v>
      </c>
    </row>
    <row r="182" spans="1:7" ht="15.75" x14ac:dyDescent="0.25">
      <c r="A182" s="19"/>
      <c r="B182" s="168"/>
      <c r="C182" s="168"/>
      <c r="D182" s="396"/>
      <c r="F182" s="1">
        <f t="shared" si="8"/>
        <v>0</v>
      </c>
      <c r="G182" s="1">
        <f t="shared" si="9"/>
        <v>0</v>
      </c>
    </row>
    <row r="183" spans="1:7" ht="15.75" x14ac:dyDescent="0.25">
      <c r="A183" s="19"/>
      <c r="B183" s="168"/>
      <c r="C183" s="168"/>
      <c r="D183" s="396"/>
      <c r="F183" s="1">
        <f t="shared" si="8"/>
        <v>0</v>
      </c>
      <c r="G183" s="1">
        <f t="shared" si="9"/>
        <v>0</v>
      </c>
    </row>
    <row r="184" spans="1:7" ht="15.75" x14ac:dyDescent="0.25">
      <c r="A184" s="19"/>
      <c r="B184" s="168"/>
      <c r="C184" s="168"/>
      <c r="D184" s="396"/>
      <c r="F184" s="1">
        <f t="shared" si="8"/>
        <v>0</v>
      </c>
      <c r="G184" s="1">
        <f t="shared" si="9"/>
        <v>0</v>
      </c>
    </row>
    <row r="185" spans="1:7" ht="15.75" x14ac:dyDescent="0.25">
      <c r="A185" s="19"/>
      <c r="B185" s="168"/>
      <c r="C185" s="168"/>
      <c r="D185" s="396"/>
      <c r="F185" s="1">
        <f t="shared" si="8"/>
        <v>0</v>
      </c>
      <c r="G185" s="1">
        <f t="shared" si="9"/>
        <v>0</v>
      </c>
    </row>
    <row r="186" spans="1:7" ht="15.75" x14ac:dyDescent="0.25">
      <c r="A186" s="19"/>
      <c r="B186" s="168"/>
      <c r="C186" s="168"/>
      <c r="D186" s="396"/>
      <c r="F186" s="1">
        <f t="shared" si="8"/>
        <v>0</v>
      </c>
      <c r="G186" s="1">
        <f t="shared" si="9"/>
        <v>0</v>
      </c>
    </row>
    <row r="187" spans="1:7" ht="15.75" x14ac:dyDescent="0.25">
      <c r="A187" s="19"/>
      <c r="B187" s="168"/>
      <c r="C187" s="168"/>
      <c r="D187" s="396"/>
      <c r="F187" s="1">
        <f t="shared" si="8"/>
        <v>0</v>
      </c>
      <c r="G187" s="1">
        <f t="shared" si="9"/>
        <v>0</v>
      </c>
    </row>
    <row r="188" spans="1:7" ht="15.75" x14ac:dyDescent="0.25">
      <c r="A188" s="19"/>
      <c r="B188" s="168"/>
      <c r="C188" s="168"/>
      <c r="D188" s="396"/>
      <c r="F188" s="1">
        <f t="shared" si="8"/>
        <v>0</v>
      </c>
      <c r="G188" s="1">
        <f t="shared" si="9"/>
        <v>0</v>
      </c>
    </row>
    <row r="189" spans="1:7" ht="15.75" x14ac:dyDescent="0.25">
      <c r="A189" s="19"/>
      <c r="B189" s="168"/>
      <c r="C189" s="168"/>
      <c r="D189" s="396"/>
      <c r="F189" s="1">
        <f t="shared" si="8"/>
        <v>0</v>
      </c>
      <c r="G189" s="1">
        <f t="shared" si="9"/>
        <v>0</v>
      </c>
    </row>
    <row r="190" spans="1:7" ht="15.75" x14ac:dyDescent="0.25">
      <c r="A190" s="19"/>
      <c r="B190" s="168"/>
      <c r="C190" s="168"/>
      <c r="D190" s="396"/>
      <c r="F190" s="1">
        <f t="shared" si="8"/>
        <v>0</v>
      </c>
      <c r="G190" s="1">
        <f t="shared" si="9"/>
        <v>0</v>
      </c>
    </row>
    <row r="191" spans="1:7" ht="15.75" x14ac:dyDescent="0.25">
      <c r="A191" s="19"/>
      <c r="B191" s="168"/>
      <c r="C191" s="168"/>
      <c r="D191" s="396"/>
      <c r="F191" s="1">
        <f t="shared" si="8"/>
        <v>0</v>
      </c>
      <c r="G191" s="1">
        <f t="shared" si="9"/>
        <v>0</v>
      </c>
    </row>
    <row r="192" spans="1:7" ht="15.75" x14ac:dyDescent="0.25">
      <c r="A192" s="19"/>
      <c r="B192" s="168"/>
      <c r="C192" s="168"/>
      <c r="D192" s="396"/>
      <c r="F192" s="1">
        <f t="shared" si="8"/>
        <v>0</v>
      </c>
      <c r="G192" s="1">
        <f t="shared" si="9"/>
        <v>0</v>
      </c>
    </row>
    <row r="193" spans="1:7" ht="15.75" x14ac:dyDescent="0.25">
      <c r="A193" s="19"/>
      <c r="B193" s="168"/>
      <c r="C193" s="168"/>
      <c r="D193" s="396"/>
      <c r="F193" s="1">
        <f t="shared" si="8"/>
        <v>0</v>
      </c>
      <c r="G193" s="1">
        <f t="shared" si="9"/>
        <v>0</v>
      </c>
    </row>
    <row r="194" spans="1:7" ht="15.75" x14ac:dyDescent="0.25">
      <c r="A194" s="19"/>
      <c r="B194" s="168"/>
      <c r="C194" s="168"/>
      <c r="D194" s="396"/>
      <c r="F194" s="1">
        <f t="shared" si="8"/>
        <v>0</v>
      </c>
      <c r="G194" s="1">
        <f t="shared" si="9"/>
        <v>0</v>
      </c>
    </row>
    <row r="195" spans="1:7" ht="15.75" x14ac:dyDescent="0.25">
      <c r="A195" s="19"/>
      <c r="B195" s="168"/>
      <c r="C195" s="168"/>
      <c r="D195" s="396"/>
      <c r="F195" s="1">
        <f t="shared" si="8"/>
        <v>0</v>
      </c>
      <c r="G195" s="1">
        <f t="shared" si="9"/>
        <v>0</v>
      </c>
    </row>
    <row r="196" spans="1:7" ht="15.75" x14ac:dyDescent="0.25">
      <c r="A196" s="19"/>
      <c r="B196" s="168"/>
      <c r="C196" s="168"/>
      <c r="D196" s="396"/>
      <c r="F196" s="1">
        <f t="shared" si="8"/>
        <v>0</v>
      </c>
      <c r="G196" s="1">
        <f t="shared" si="9"/>
        <v>0</v>
      </c>
    </row>
    <row r="197" spans="1:7" ht="15.75" x14ac:dyDescent="0.25">
      <c r="A197" s="19"/>
      <c r="B197" s="168"/>
      <c r="C197" s="168"/>
      <c r="D197" s="396"/>
      <c r="F197" s="1">
        <f t="shared" si="8"/>
        <v>0</v>
      </c>
      <c r="G197" s="1">
        <f t="shared" si="9"/>
        <v>0</v>
      </c>
    </row>
    <row r="198" spans="1:7" ht="15.75" x14ac:dyDescent="0.25">
      <c r="A198" s="19"/>
      <c r="B198" s="168"/>
      <c r="C198" s="168"/>
      <c r="D198" s="396"/>
      <c r="F198" s="1">
        <f t="shared" si="8"/>
        <v>0</v>
      </c>
      <c r="G198" s="1">
        <f t="shared" si="9"/>
        <v>0</v>
      </c>
    </row>
    <row r="199" spans="1:7" ht="15.75" x14ac:dyDescent="0.25">
      <c r="A199" s="19"/>
      <c r="B199" s="168"/>
      <c r="C199" s="168"/>
      <c r="D199" s="396"/>
      <c r="F199" s="1">
        <f t="shared" si="8"/>
        <v>0</v>
      </c>
      <c r="G199" s="1">
        <f t="shared" si="9"/>
        <v>0</v>
      </c>
    </row>
    <row r="200" spans="1:7" ht="15.75" x14ac:dyDescent="0.25">
      <c r="A200" s="19"/>
      <c r="B200" s="168"/>
      <c r="C200" s="168"/>
      <c r="D200" s="396"/>
      <c r="F200" s="1">
        <f t="shared" si="8"/>
        <v>0</v>
      </c>
      <c r="G200" s="1">
        <f t="shared" si="9"/>
        <v>0</v>
      </c>
    </row>
    <row r="201" spans="1:7" ht="15.75" x14ac:dyDescent="0.25">
      <c r="A201" s="19"/>
      <c r="B201" s="168"/>
      <c r="C201" s="168"/>
      <c r="D201" s="396"/>
      <c r="F201" s="1">
        <f t="shared" si="8"/>
        <v>0</v>
      </c>
      <c r="G201" s="1">
        <f t="shared" si="9"/>
        <v>0</v>
      </c>
    </row>
    <row r="202" spans="1:7" ht="15.75" x14ac:dyDescent="0.25">
      <c r="A202" s="19"/>
      <c r="B202" s="168"/>
      <c r="C202" s="168"/>
      <c r="D202" s="396"/>
      <c r="F202" s="1">
        <f t="shared" si="8"/>
        <v>0</v>
      </c>
      <c r="G202" s="1">
        <f t="shared" si="9"/>
        <v>0</v>
      </c>
    </row>
    <row r="203" spans="1:7" ht="15.75" x14ac:dyDescent="0.25">
      <c r="A203" s="19"/>
      <c r="B203" s="168"/>
      <c r="C203" s="168"/>
      <c r="D203" s="396"/>
      <c r="F203" s="1">
        <f t="shared" si="8"/>
        <v>0</v>
      </c>
      <c r="G203" s="1">
        <f t="shared" si="9"/>
        <v>0</v>
      </c>
    </row>
    <row r="204" spans="1:7" ht="15.75" x14ac:dyDescent="0.25">
      <c r="A204" s="19"/>
      <c r="B204" s="168"/>
      <c r="C204" s="168"/>
      <c r="D204" s="396"/>
      <c r="F204" s="1">
        <f t="shared" si="8"/>
        <v>0</v>
      </c>
      <c r="G204" s="1">
        <f t="shared" si="9"/>
        <v>0</v>
      </c>
    </row>
    <row r="205" spans="1:7" ht="15.75" x14ac:dyDescent="0.25">
      <c r="A205" s="19"/>
      <c r="B205" s="168"/>
      <c r="C205" s="168"/>
      <c r="D205" s="396"/>
      <c r="F205" s="1">
        <f t="shared" si="8"/>
        <v>0</v>
      </c>
      <c r="G205" s="1">
        <f t="shared" si="9"/>
        <v>0</v>
      </c>
    </row>
    <row r="206" spans="1:7" ht="15.75" x14ac:dyDescent="0.25">
      <c r="A206" s="19"/>
      <c r="B206" s="168"/>
      <c r="C206" s="168"/>
      <c r="D206" s="396"/>
      <c r="F206" s="1">
        <f t="shared" si="8"/>
        <v>0</v>
      </c>
      <c r="G206" s="1">
        <f t="shared" si="9"/>
        <v>0</v>
      </c>
    </row>
    <row r="207" spans="1:7" ht="15.75" x14ac:dyDescent="0.25">
      <c r="A207" s="19"/>
      <c r="B207" s="168"/>
      <c r="C207" s="168"/>
      <c r="D207" s="396"/>
      <c r="F207" s="1">
        <f t="shared" si="8"/>
        <v>0</v>
      </c>
      <c r="G207" s="1">
        <f t="shared" si="9"/>
        <v>0</v>
      </c>
    </row>
    <row r="208" spans="1:7" ht="15.75" x14ac:dyDescent="0.25">
      <c r="A208" s="19"/>
      <c r="B208" s="168"/>
      <c r="C208" s="168"/>
      <c r="D208" s="396"/>
      <c r="F208" s="1">
        <f t="shared" si="8"/>
        <v>0</v>
      </c>
      <c r="G208" s="1">
        <f t="shared" si="9"/>
        <v>0</v>
      </c>
    </row>
    <row r="209" spans="1:7" ht="15.75" x14ac:dyDescent="0.25">
      <c r="A209" s="19"/>
      <c r="B209" s="168"/>
      <c r="C209" s="168"/>
      <c r="D209" s="396"/>
      <c r="F209" s="1">
        <f t="shared" si="8"/>
        <v>0</v>
      </c>
      <c r="G209" s="1">
        <f t="shared" si="9"/>
        <v>0</v>
      </c>
    </row>
    <row r="210" spans="1:7" ht="15.75" x14ac:dyDescent="0.25">
      <c r="A210" s="19"/>
      <c r="B210" s="168"/>
      <c r="C210" s="168"/>
      <c r="D210" s="396"/>
      <c r="F210" s="1">
        <f t="shared" si="8"/>
        <v>0</v>
      </c>
      <c r="G210" s="1">
        <f t="shared" si="9"/>
        <v>0</v>
      </c>
    </row>
    <row r="211" spans="1:7" ht="15.75" x14ac:dyDescent="0.25">
      <c r="A211" s="19"/>
      <c r="B211" s="168"/>
      <c r="C211" s="168"/>
      <c r="D211" s="396"/>
      <c r="F211" s="1">
        <f t="shared" si="8"/>
        <v>0</v>
      </c>
      <c r="G211" s="1">
        <f t="shared" si="9"/>
        <v>0</v>
      </c>
    </row>
    <row r="212" spans="1:7" ht="15.75" x14ac:dyDescent="0.25">
      <c r="A212" s="19"/>
      <c r="B212" s="168"/>
      <c r="C212" s="168"/>
      <c r="D212" s="396"/>
      <c r="F212" s="1">
        <f t="shared" si="8"/>
        <v>0</v>
      </c>
      <c r="G212" s="1">
        <f t="shared" si="9"/>
        <v>0</v>
      </c>
    </row>
    <row r="213" spans="1:7" ht="15.75" x14ac:dyDescent="0.25">
      <c r="A213" s="19"/>
      <c r="B213" s="168"/>
      <c r="C213" s="168"/>
      <c r="D213" s="396"/>
      <c r="F213" s="1">
        <f t="shared" ref="F213:F276" si="10">LEN(B213)</f>
        <v>0</v>
      </c>
      <c r="G213" s="1">
        <f t="shared" ref="G213:G276" si="11">LEN(C213)</f>
        <v>0</v>
      </c>
    </row>
    <row r="214" spans="1:7" ht="15.75" x14ac:dyDescent="0.25">
      <c r="A214" s="19"/>
      <c r="B214" s="168"/>
      <c r="C214" s="168"/>
      <c r="D214" s="396"/>
      <c r="F214" s="1">
        <f t="shared" si="10"/>
        <v>0</v>
      </c>
      <c r="G214" s="1">
        <f t="shared" si="11"/>
        <v>0</v>
      </c>
    </row>
    <row r="215" spans="1:7" ht="15.75" x14ac:dyDescent="0.25">
      <c r="A215" s="19"/>
      <c r="B215" s="168"/>
      <c r="C215" s="168"/>
      <c r="D215" s="396"/>
      <c r="F215" s="1">
        <f t="shared" si="10"/>
        <v>0</v>
      </c>
      <c r="G215" s="1">
        <f t="shared" si="11"/>
        <v>0</v>
      </c>
    </row>
    <row r="216" spans="1:7" ht="15.75" x14ac:dyDescent="0.25">
      <c r="A216" s="19"/>
      <c r="B216" s="168"/>
      <c r="C216" s="168"/>
      <c r="D216" s="396"/>
      <c r="F216" s="1">
        <f t="shared" si="10"/>
        <v>0</v>
      </c>
      <c r="G216" s="1">
        <f t="shared" si="11"/>
        <v>0</v>
      </c>
    </row>
    <row r="217" spans="1:7" ht="15.75" x14ac:dyDescent="0.25">
      <c r="A217" s="19"/>
      <c r="B217" s="168"/>
      <c r="C217" s="168"/>
      <c r="D217" s="396"/>
      <c r="F217" s="1">
        <f t="shared" si="10"/>
        <v>0</v>
      </c>
      <c r="G217" s="1">
        <f t="shared" si="11"/>
        <v>0</v>
      </c>
    </row>
    <row r="218" spans="1:7" ht="15.75" x14ac:dyDescent="0.25">
      <c r="A218" s="19"/>
      <c r="B218" s="168"/>
      <c r="C218" s="168"/>
      <c r="D218" s="396"/>
      <c r="F218" s="1">
        <f t="shared" si="10"/>
        <v>0</v>
      </c>
      <c r="G218" s="1">
        <f t="shared" si="11"/>
        <v>0</v>
      </c>
    </row>
    <row r="219" spans="1:7" ht="15.75" x14ac:dyDescent="0.25">
      <c r="A219" s="19"/>
      <c r="B219" s="168"/>
      <c r="C219" s="168"/>
      <c r="D219" s="396"/>
      <c r="F219" s="1">
        <f t="shared" si="10"/>
        <v>0</v>
      </c>
      <c r="G219" s="1">
        <f t="shared" si="11"/>
        <v>0</v>
      </c>
    </row>
    <row r="220" spans="1:7" ht="15.75" x14ac:dyDescent="0.25">
      <c r="A220" s="19"/>
      <c r="B220" s="168"/>
      <c r="C220" s="168"/>
      <c r="D220" s="396"/>
      <c r="F220" s="1">
        <f t="shared" si="10"/>
        <v>0</v>
      </c>
      <c r="G220" s="1">
        <f t="shared" si="11"/>
        <v>0</v>
      </c>
    </row>
    <row r="221" spans="1:7" ht="15.75" x14ac:dyDescent="0.25">
      <c r="A221" s="19"/>
      <c r="B221" s="168"/>
      <c r="C221" s="168"/>
      <c r="D221" s="396"/>
      <c r="F221" s="1">
        <f t="shared" si="10"/>
        <v>0</v>
      </c>
      <c r="G221" s="1">
        <f t="shared" si="11"/>
        <v>0</v>
      </c>
    </row>
    <row r="222" spans="1:7" ht="15.75" x14ac:dyDescent="0.25">
      <c r="A222" s="19"/>
      <c r="B222" s="168"/>
      <c r="C222" s="168"/>
      <c r="D222" s="396"/>
      <c r="F222" s="1">
        <f t="shared" si="10"/>
        <v>0</v>
      </c>
      <c r="G222" s="1">
        <f t="shared" si="11"/>
        <v>0</v>
      </c>
    </row>
    <row r="223" spans="1:7" ht="15.75" x14ac:dyDescent="0.25">
      <c r="A223" s="19"/>
      <c r="B223" s="168"/>
      <c r="C223" s="168"/>
      <c r="D223" s="396"/>
      <c r="F223" s="1">
        <f t="shared" si="10"/>
        <v>0</v>
      </c>
      <c r="G223" s="1">
        <f t="shared" si="11"/>
        <v>0</v>
      </c>
    </row>
    <row r="224" spans="1:7" ht="15.75" x14ac:dyDescent="0.25">
      <c r="A224" s="19"/>
      <c r="B224" s="168"/>
      <c r="C224" s="168"/>
      <c r="D224" s="396"/>
      <c r="F224" s="1">
        <f t="shared" si="10"/>
        <v>0</v>
      </c>
      <c r="G224" s="1">
        <f t="shared" si="11"/>
        <v>0</v>
      </c>
    </row>
    <row r="225" spans="1:7" ht="15.75" x14ac:dyDescent="0.25">
      <c r="A225" s="19"/>
      <c r="B225" s="168"/>
      <c r="C225" s="168"/>
      <c r="D225" s="396"/>
      <c r="F225" s="1">
        <f t="shared" si="10"/>
        <v>0</v>
      </c>
      <c r="G225" s="1">
        <f t="shared" si="11"/>
        <v>0</v>
      </c>
    </row>
    <row r="226" spans="1:7" ht="15.75" x14ac:dyDescent="0.25">
      <c r="A226" s="19"/>
      <c r="B226" s="168"/>
      <c r="C226" s="168"/>
      <c r="D226" s="396"/>
      <c r="F226" s="1">
        <f t="shared" si="10"/>
        <v>0</v>
      </c>
      <c r="G226" s="1">
        <f t="shared" si="11"/>
        <v>0</v>
      </c>
    </row>
    <row r="227" spans="1:7" ht="15.75" x14ac:dyDescent="0.25">
      <c r="A227" s="19"/>
      <c r="B227" s="168"/>
      <c r="C227" s="168"/>
      <c r="D227" s="396"/>
      <c r="F227" s="1">
        <f t="shared" si="10"/>
        <v>0</v>
      </c>
      <c r="G227" s="1">
        <f t="shared" si="11"/>
        <v>0</v>
      </c>
    </row>
    <row r="228" spans="1:7" ht="15.75" x14ac:dyDescent="0.25">
      <c r="A228" s="19"/>
      <c r="B228" s="168"/>
      <c r="C228" s="168"/>
      <c r="D228" s="396"/>
      <c r="F228" s="1">
        <f t="shared" si="10"/>
        <v>0</v>
      </c>
      <c r="G228" s="1">
        <f t="shared" si="11"/>
        <v>0</v>
      </c>
    </row>
    <row r="229" spans="1:7" ht="15.75" x14ac:dyDescent="0.25">
      <c r="A229" s="19"/>
      <c r="B229" s="168"/>
      <c r="C229" s="168"/>
      <c r="D229" s="396"/>
      <c r="F229" s="1">
        <f t="shared" si="10"/>
        <v>0</v>
      </c>
      <c r="G229" s="1">
        <f t="shared" si="11"/>
        <v>0</v>
      </c>
    </row>
    <row r="230" spans="1:7" ht="15.75" x14ac:dyDescent="0.25">
      <c r="A230" s="19"/>
      <c r="B230" s="168"/>
      <c r="C230" s="168"/>
      <c r="D230" s="396"/>
      <c r="F230" s="1">
        <f t="shared" si="10"/>
        <v>0</v>
      </c>
      <c r="G230" s="1">
        <f t="shared" si="11"/>
        <v>0</v>
      </c>
    </row>
    <row r="231" spans="1:7" ht="15.75" x14ac:dyDescent="0.25">
      <c r="A231" s="19"/>
      <c r="B231" s="168"/>
      <c r="C231" s="168"/>
      <c r="D231" s="396"/>
      <c r="F231" s="1">
        <f t="shared" si="10"/>
        <v>0</v>
      </c>
      <c r="G231" s="1">
        <f t="shared" si="11"/>
        <v>0</v>
      </c>
    </row>
    <row r="232" spans="1:7" ht="15.75" x14ac:dyDescent="0.25">
      <c r="A232" s="19"/>
      <c r="B232" s="168"/>
      <c r="C232" s="168"/>
      <c r="D232" s="396"/>
      <c r="F232" s="1">
        <f t="shared" si="10"/>
        <v>0</v>
      </c>
      <c r="G232" s="1">
        <f t="shared" si="11"/>
        <v>0</v>
      </c>
    </row>
    <row r="233" spans="1:7" ht="15.75" x14ac:dyDescent="0.25">
      <c r="A233" s="19"/>
      <c r="B233" s="168"/>
      <c r="C233" s="168"/>
      <c r="D233" s="396"/>
      <c r="F233" s="1">
        <f t="shared" si="10"/>
        <v>0</v>
      </c>
      <c r="G233" s="1">
        <f t="shared" si="11"/>
        <v>0</v>
      </c>
    </row>
    <row r="234" spans="1:7" ht="15.75" x14ac:dyDescent="0.25">
      <c r="A234" s="19"/>
      <c r="B234" s="168"/>
      <c r="C234" s="168"/>
      <c r="D234" s="396"/>
      <c r="F234" s="1">
        <f t="shared" si="10"/>
        <v>0</v>
      </c>
      <c r="G234" s="1">
        <f t="shared" si="11"/>
        <v>0</v>
      </c>
    </row>
    <row r="235" spans="1:7" ht="15.75" x14ac:dyDescent="0.25">
      <c r="A235" s="19"/>
      <c r="B235" s="168"/>
      <c r="C235" s="168"/>
      <c r="D235" s="396"/>
      <c r="F235" s="1">
        <f t="shared" si="10"/>
        <v>0</v>
      </c>
      <c r="G235" s="1">
        <f t="shared" si="11"/>
        <v>0</v>
      </c>
    </row>
    <row r="236" spans="1:7" ht="15.75" x14ac:dyDescent="0.25">
      <c r="A236" s="19"/>
      <c r="B236" s="168"/>
      <c r="C236" s="168"/>
      <c r="D236" s="396"/>
      <c r="F236" s="1">
        <f t="shared" si="10"/>
        <v>0</v>
      </c>
      <c r="G236" s="1">
        <f t="shared" si="11"/>
        <v>0</v>
      </c>
    </row>
    <row r="237" spans="1:7" ht="15.75" x14ac:dyDescent="0.25">
      <c r="A237" s="19"/>
      <c r="B237" s="168"/>
      <c r="C237" s="168"/>
      <c r="D237" s="396"/>
      <c r="F237" s="1">
        <f t="shared" si="10"/>
        <v>0</v>
      </c>
      <c r="G237" s="1">
        <f t="shared" si="11"/>
        <v>0</v>
      </c>
    </row>
    <row r="238" spans="1:7" ht="15.75" x14ac:dyDescent="0.25">
      <c r="A238" s="19"/>
      <c r="B238" s="168"/>
      <c r="C238" s="168"/>
      <c r="D238" s="396"/>
      <c r="F238" s="1">
        <f t="shared" si="10"/>
        <v>0</v>
      </c>
      <c r="G238" s="1">
        <f t="shared" si="11"/>
        <v>0</v>
      </c>
    </row>
    <row r="239" spans="1:7" ht="15.75" x14ac:dyDescent="0.25">
      <c r="A239" s="19"/>
      <c r="B239" s="168"/>
      <c r="C239" s="168"/>
      <c r="D239" s="396"/>
      <c r="F239" s="1">
        <f t="shared" si="10"/>
        <v>0</v>
      </c>
      <c r="G239" s="1">
        <f t="shared" si="11"/>
        <v>0</v>
      </c>
    </row>
    <row r="240" spans="1:7" ht="15.75" x14ac:dyDescent="0.25">
      <c r="A240" s="19"/>
      <c r="B240" s="168"/>
      <c r="C240" s="168"/>
      <c r="D240" s="396"/>
      <c r="F240" s="1">
        <f t="shared" si="10"/>
        <v>0</v>
      </c>
      <c r="G240" s="1">
        <f t="shared" si="11"/>
        <v>0</v>
      </c>
    </row>
    <row r="241" spans="1:7" ht="15.75" x14ac:dyDescent="0.25">
      <c r="A241" s="19"/>
      <c r="B241" s="168"/>
      <c r="C241" s="168"/>
      <c r="D241" s="396"/>
      <c r="F241" s="1">
        <f t="shared" si="10"/>
        <v>0</v>
      </c>
      <c r="G241" s="1">
        <f t="shared" si="11"/>
        <v>0</v>
      </c>
    </row>
    <row r="242" spans="1:7" ht="15.75" x14ac:dyDescent="0.25">
      <c r="A242" s="19"/>
      <c r="B242" s="168"/>
      <c r="C242" s="168"/>
      <c r="D242" s="396"/>
      <c r="F242" s="1">
        <f t="shared" si="10"/>
        <v>0</v>
      </c>
      <c r="G242" s="1">
        <f t="shared" si="11"/>
        <v>0</v>
      </c>
    </row>
    <row r="243" spans="1:7" ht="15.75" x14ac:dyDescent="0.25">
      <c r="A243" s="19"/>
      <c r="B243" s="168"/>
      <c r="C243" s="168"/>
      <c r="D243" s="396"/>
      <c r="F243" s="1">
        <f t="shared" si="10"/>
        <v>0</v>
      </c>
      <c r="G243" s="1">
        <f t="shared" si="11"/>
        <v>0</v>
      </c>
    </row>
    <row r="244" spans="1:7" ht="15.75" x14ac:dyDescent="0.25">
      <c r="A244" s="19"/>
      <c r="B244" s="168"/>
      <c r="C244" s="168"/>
      <c r="D244" s="396"/>
      <c r="F244" s="1">
        <f t="shared" si="10"/>
        <v>0</v>
      </c>
      <c r="G244" s="1">
        <f t="shared" si="11"/>
        <v>0</v>
      </c>
    </row>
    <row r="245" spans="1:7" ht="15.75" x14ac:dyDescent="0.25">
      <c r="A245" s="19"/>
      <c r="B245" s="168"/>
      <c r="C245" s="168"/>
      <c r="D245" s="396"/>
      <c r="F245" s="1">
        <f t="shared" si="10"/>
        <v>0</v>
      </c>
      <c r="G245" s="1">
        <f t="shared" si="11"/>
        <v>0</v>
      </c>
    </row>
    <row r="246" spans="1:7" ht="15.75" x14ac:dyDescent="0.25">
      <c r="A246" s="19"/>
      <c r="B246" s="168"/>
      <c r="C246" s="168"/>
      <c r="D246" s="396"/>
      <c r="F246" s="1">
        <f t="shared" si="10"/>
        <v>0</v>
      </c>
      <c r="G246" s="1">
        <f t="shared" si="11"/>
        <v>0</v>
      </c>
    </row>
    <row r="247" spans="1:7" ht="15.75" x14ac:dyDescent="0.25">
      <c r="A247" s="19"/>
      <c r="B247" s="168"/>
      <c r="C247" s="168"/>
      <c r="D247" s="396"/>
      <c r="F247" s="1">
        <f t="shared" si="10"/>
        <v>0</v>
      </c>
      <c r="G247" s="1">
        <f t="shared" si="11"/>
        <v>0</v>
      </c>
    </row>
    <row r="248" spans="1:7" ht="15.75" x14ac:dyDescent="0.25">
      <c r="A248" s="19"/>
      <c r="B248" s="168"/>
      <c r="C248" s="168"/>
      <c r="D248" s="396"/>
      <c r="F248" s="1">
        <f t="shared" si="10"/>
        <v>0</v>
      </c>
      <c r="G248" s="1">
        <f t="shared" si="11"/>
        <v>0</v>
      </c>
    </row>
    <row r="249" spans="1:7" ht="15.75" x14ac:dyDescent="0.25">
      <c r="A249" s="19"/>
      <c r="B249" s="168"/>
      <c r="C249" s="168"/>
      <c r="D249" s="396"/>
      <c r="F249" s="1">
        <f t="shared" si="10"/>
        <v>0</v>
      </c>
      <c r="G249" s="1">
        <f t="shared" si="11"/>
        <v>0</v>
      </c>
    </row>
    <row r="250" spans="1:7" ht="15.75" x14ac:dyDescent="0.25">
      <c r="A250" s="19"/>
      <c r="B250" s="168"/>
      <c r="C250" s="168"/>
      <c r="D250" s="396"/>
      <c r="F250" s="1">
        <f t="shared" si="10"/>
        <v>0</v>
      </c>
      <c r="G250" s="1">
        <f t="shared" si="11"/>
        <v>0</v>
      </c>
    </row>
    <row r="251" spans="1:7" ht="15.75" x14ac:dyDescent="0.25">
      <c r="A251" s="19"/>
      <c r="B251" s="168"/>
      <c r="C251" s="168"/>
      <c r="D251" s="396"/>
      <c r="F251" s="1">
        <f t="shared" si="10"/>
        <v>0</v>
      </c>
      <c r="G251" s="1">
        <f t="shared" si="11"/>
        <v>0</v>
      </c>
    </row>
    <row r="252" spans="1:7" ht="15.75" x14ac:dyDescent="0.25">
      <c r="A252" s="19"/>
      <c r="B252" s="168"/>
      <c r="C252" s="168"/>
      <c r="D252" s="396"/>
      <c r="F252" s="1">
        <f t="shared" si="10"/>
        <v>0</v>
      </c>
      <c r="G252" s="1">
        <f t="shared" si="11"/>
        <v>0</v>
      </c>
    </row>
    <row r="253" spans="1:7" ht="15.75" x14ac:dyDescent="0.25">
      <c r="A253" s="19"/>
      <c r="B253" s="168"/>
      <c r="C253" s="168"/>
      <c r="D253" s="396"/>
      <c r="F253" s="1">
        <f t="shared" si="10"/>
        <v>0</v>
      </c>
      <c r="G253" s="1">
        <f t="shared" si="11"/>
        <v>0</v>
      </c>
    </row>
    <row r="254" spans="1:7" ht="15.75" x14ac:dyDescent="0.25">
      <c r="A254" s="19"/>
      <c r="B254" s="168"/>
      <c r="C254" s="168"/>
      <c r="D254" s="396"/>
      <c r="F254" s="1">
        <f t="shared" si="10"/>
        <v>0</v>
      </c>
      <c r="G254" s="1">
        <f t="shared" si="11"/>
        <v>0</v>
      </c>
    </row>
    <row r="255" spans="1:7" ht="15.75" x14ac:dyDescent="0.25">
      <c r="A255" s="19"/>
      <c r="B255" s="168"/>
      <c r="C255" s="168"/>
      <c r="D255" s="396"/>
      <c r="F255" s="1">
        <f t="shared" si="10"/>
        <v>0</v>
      </c>
      <c r="G255" s="1">
        <f t="shared" si="11"/>
        <v>0</v>
      </c>
    </row>
    <row r="256" spans="1:7" ht="15.75" x14ac:dyDescent="0.25">
      <c r="A256" s="19"/>
      <c r="B256" s="168"/>
      <c r="C256" s="168"/>
      <c r="D256" s="396"/>
      <c r="F256" s="1">
        <f t="shared" si="10"/>
        <v>0</v>
      </c>
      <c r="G256" s="1">
        <f t="shared" si="11"/>
        <v>0</v>
      </c>
    </row>
    <row r="257" spans="1:7" ht="15.75" x14ac:dyDescent="0.25">
      <c r="A257" s="19"/>
      <c r="B257" s="168"/>
      <c r="C257" s="168"/>
      <c r="D257" s="396"/>
      <c r="F257" s="1">
        <f t="shared" si="10"/>
        <v>0</v>
      </c>
      <c r="G257" s="1">
        <f t="shared" si="11"/>
        <v>0</v>
      </c>
    </row>
    <row r="258" spans="1:7" ht="15.75" x14ac:dyDescent="0.25">
      <c r="A258" s="19"/>
      <c r="B258" s="168"/>
      <c r="C258" s="168"/>
      <c r="D258" s="396"/>
      <c r="F258" s="1">
        <f t="shared" si="10"/>
        <v>0</v>
      </c>
      <c r="G258" s="1">
        <f t="shared" si="11"/>
        <v>0</v>
      </c>
    </row>
    <row r="259" spans="1:7" ht="15.75" x14ac:dyDescent="0.25">
      <c r="A259" s="19"/>
      <c r="B259" s="168"/>
      <c r="C259" s="168"/>
      <c r="D259" s="396"/>
      <c r="F259" s="1">
        <f t="shared" si="10"/>
        <v>0</v>
      </c>
      <c r="G259" s="1">
        <f t="shared" si="11"/>
        <v>0</v>
      </c>
    </row>
    <row r="260" spans="1:7" ht="15.75" x14ac:dyDescent="0.25">
      <c r="A260" s="19"/>
      <c r="B260" s="168"/>
      <c r="C260" s="168"/>
      <c r="D260" s="396"/>
      <c r="F260" s="1">
        <f t="shared" si="10"/>
        <v>0</v>
      </c>
      <c r="G260" s="1">
        <f t="shared" si="11"/>
        <v>0</v>
      </c>
    </row>
    <row r="261" spans="1:7" ht="15.75" x14ac:dyDescent="0.25">
      <c r="A261" s="19"/>
      <c r="B261" s="168"/>
      <c r="C261" s="168"/>
      <c r="D261" s="396"/>
      <c r="F261" s="1">
        <f t="shared" si="10"/>
        <v>0</v>
      </c>
      <c r="G261" s="1">
        <f t="shared" si="11"/>
        <v>0</v>
      </c>
    </row>
    <row r="262" spans="1:7" ht="15.75" x14ac:dyDescent="0.25">
      <c r="A262" s="19"/>
      <c r="B262" s="168"/>
      <c r="C262" s="168"/>
      <c r="D262" s="396"/>
      <c r="F262" s="1">
        <f t="shared" si="10"/>
        <v>0</v>
      </c>
      <c r="G262" s="1">
        <f t="shared" si="11"/>
        <v>0</v>
      </c>
    </row>
    <row r="263" spans="1:7" ht="15.75" x14ac:dyDescent="0.25">
      <c r="A263" s="19"/>
      <c r="B263" s="168"/>
      <c r="C263" s="168"/>
      <c r="D263" s="396"/>
      <c r="F263" s="1">
        <f t="shared" si="10"/>
        <v>0</v>
      </c>
      <c r="G263" s="1">
        <f t="shared" si="11"/>
        <v>0</v>
      </c>
    </row>
    <row r="264" spans="1:7" ht="15.75" x14ac:dyDescent="0.25">
      <c r="A264" s="19"/>
      <c r="B264" s="168"/>
      <c r="C264" s="168"/>
      <c r="D264" s="396"/>
      <c r="F264" s="1">
        <f t="shared" si="10"/>
        <v>0</v>
      </c>
      <c r="G264" s="1">
        <f t="shared" si="11"/>
        <v>0</v>
      </c>
    </row>
    <row r="265" spans="1:7" ht="15.75" x14ac:dyDescent="0.25">
      <c r="A265" s="19"/>
      <c r="B265" s="168"/>
      <c r="C265" s="168"/>
      <c r="D265" s="396"/>
      <c r="F265" s="1">
        <f t="shared" si="10"/>
        <v>0</v>
      </c>
      <c r="G265" s="1">
        <f t="shared" si="11"/>
        <v>0</v>
      </c>
    </row>
    <row r="266" spans="1:7" ht="15.75" x14ac:dyDescent="0.25">
      <c r="A266" s="19"/>
      <c r="B266" s="168"/>
      <c r="C266" s="168"/>
      <c r="D266" s="396"/>
      <c r="F266" s="1">
        <f t="shared" si="10"/>
        <v>0</v>
      </c>
      <c r="G266" s="1">
        <f t="shared" si="11"/>
        <v>0</v>
      </c>
    </row>
    <row r="267" spans="1:7" ht="15.75" x14ac:dyDescent="0.25">
      <c r="A267" s="19"/>
      <c r="B267" s="168"/>
      <c r="C267" s="168"/>
      <c r="D267" s="396"/>
      <c r="F267" s="1">
        <f t="shared" si="10"/>
        <v>0</v>
      </c>
      <c r="G267" s="1">
        <f t="shared" si="11"/>
        <v>0</v>
      </c>
    </row>
    <row r="268" spans="1:7" ht="15.75" x14ac:dyDescent="0.25">
      <c r="A268" s="19"/>
      <c r="B268" s="168"/>
      <c r="C268" s="168"/>
      <c r="D268" s="396"/>
      <c r="F268" s="1">
        <f t="shared" si="10"/>
        <v>0</v>
      </c>
      <c r="G268" s="1">
        <f t="shared" si="11"/>
        <v>0</v>
      </c>
    </row>
    <row r="269" spans="1:7" ht="15.75" x14ac:dyDescent="0.25">
      <c r="A269" s="19"/>
      <c r="B269" s="168"/>
      <c r="C269" s="168"/>
      <c r="D269" s="396"/>
      <c r="F269" s="1">
        <f t="shared" si="10"/>
        <v>0</v>
      </c>
      <c r="G269" s="1">
        <f t="shared" si="11"/>
        <v>0</v>
      </c>
    </row>
    <row r="270" spans="1:7" ht="15.75" x14ac:dyDescent="0.25">
      <c r="A270" s="19"/>
      <c r="B270" s="168"/>
      <c r="C270" s="168"/>
      <c r="D270" s="396"/>
      <c r="F270" s="1">
        <f t="shared" si="10"/>
        <v>0</v>
      </c>
      <c r="G270" s="1">
        <f t="shared" si="11"/>
        <v>0</v>
      </c>
    </row>
    <row r="271" spans="1:7" ht="15.75" x14ac:dyDescent="0.25">
      <c r="A271" s="19"/>
      <c r="B271" s="168"/>
      <c r="C271" s="168"/>
      <c r="D271" s="396"/>
      <c r="F271" s="1">
        <f t="shared" si="10"/>
        <v>0</v>
      </c>
      <c r="G271" s="1">
        <f t="shared" si="11"/>
        <v>0</v>
      </c>
    </row>
    <row r="272" spans="1:7" ht="15.75" x14ac:dyDescent="0.25">
      <c r="A272" s="19"/>
      <c r="B272" s="168"/>
      <c r="C272" s="168"/>
      <c r="D272" s="396"/>
      <c r="F272" s="1">
        <f t="shared" si="10"/>
        <v>0</v>
      </c>
      <c r="G272" s="1">
        <f t="shared" si="11"/>
        <v>0</v>
      </c>
    </row>
    <row r="273" spans="1:7" ht="15.75" x14ac:dyDescent="0.25">
      <c r="A273" s="19"/>
      <c r="B273" s="168"/>
      <c r="C273" s="168"/>
      <c r="D273" s="396"/>
      <c r="F273" s="1">
        <f t="shared" si="10"/>
        <v>0</v>
      </c>
      <c r="G273" s="1">
        <f t="shared" si="11"/>
        <v>0</v>
      </c>
    </row>
    <row r="274" spans="1:7" ht="15.75" x14ac:dyDescent="0.25">
      <c r="A274" s="19"/>
      <c r="B274" s="168"/>
      <c r="C274" s="168"/>
      <c r="D274" s="396"/>
      <c r="F274" s="1">
        <f t="shared" si="10"/>
        <v>0</v>
      </c>
      <c r="G274" s="1">
        <f t="shared" si="11"/>
        <v>0</v>
      </c>
    </row>
    <row r="275" spans="1:7" ht="15.75" x14ac:dyDescent="0.25">
      <c r="A275" s="19"/>
      <c r="B275" s="168"/>
      <c r="C275" s="168"/>
      <c r="D275" s="396"/>
      <c r="F275" s="1">
        <f t="shared" si="10"/>
        <v>0</v>
      </c>
      <c r="G275" s="1">
        <f t="shared" si="11"/>
        <v>0</v>
      </c>
    </row>
    <row r="276" spans="1:7" ht="15.75" x14ac:dyDescent="0.25">
      <c r="A276" s="19"/>
      <c r="B276" s="168"/>
      <c r="C276" s="168"/>
      <c r="D276" s="396"/>
      <c r="F276" s="1">
        <f t="shared" si="10"/>
        <v>0</v>
      </c>
      <c r="G276" s="1">
        <f t="shared" si="11"/>
        <v>0</v>
      </c>
    </row>
    <row r="277" spans="1:7" ht="15.75" x14ac:dyDescent="0.25">
      <c r="A277" s="19"/>
      <c r="B277" s="168"/>
      <c r="C277" s="168"/>
      <c r="D277" s="396"/>
      <c r="F277" s="1">
        <f t="shared" ref="F277:F340" si="12">LEN(B277)</f>
        <v>0</v>
      </c>
      <c r="G277" s="1">
        <f t="shared" ref="G277:G340" si="13">LEN(C277)</f>
        <v>0</v>
      </c>
    </row>
    <row r="278" spans="1:7" ht="15.75" x14ac:dyDescent="0.25">
      <c r="A278" s="19"/>
      <c r="B278" s="168"/>
      <c r="C278" s="168"/>
      <c r="D278" s="396"/>
      <c r="F278" s="1">
        <f t="shared" si="12"/>
        <v>0</v>
      </c>
      <c r="G278" s="1">
        <f t="shared" si="13"/>
        <v>0</v>
      </c>
    </row>
    <row r="279" spans="1:7" ht="15.75" x14ac:dyDescent="0.25">
      <c r="A279" s="19"/>
      <c r="B279" s="168"/>
      <c r="C279" s="168"/>
      <c r="D279" s="396"/>
      <c r="F279" s="1">
        <f t="shared" si="12"/>
        <v>0</v>
      </c>
      <c r="G279" s="1">
        <f t="shared" si="13"/>
        <v>0</v>
      </c>
    </row>
    <row r="280" spans="1:7" ht="15.75" x14ac:dyDescent="0.25">
      <c r="A280" s="19"/>
      <c r="B280" s="168"/>
      <c r="C280" s="168"/>
      <c r="D280" s="396"/>
      <c r="F280" s="1">
        <f t="shared" si="12"/>
        <v>0</v>
      </c>
      <c r="G280" s="1">
        <f t="shared" si="13"/>
        <v>0</v>
      </c>
    </row>
    <row r="281" spans="1:7" ht="15.75" x14ac:dyDescent="0.25">
      <c r="A281" s="19"/>
      <c r="B281" s="168"/>
      <c r="C281" s="168"/>
      <c r="D281" s="396"/>
      <c r="F281" s="1">
        <f t="shared" si="12"/>
        <v>0</v>
      </c>
      <c r="G281" s="1">
        <f t="shared" si="13"/>
        <v>0</v>
      </c>
    </row>
    <row r="282" spans="1:7" ht="15.75" x14ac:dyDescent="0.25">
      <c r="A282" s="19"/>
      <c r="B282" s="168"/>
      <c r="C282" s="168"/>
      <c r="D282" s="396"/>
      <c r="F282" s="1">
        <f t="shared" si="12"/>
        <v>0</v>
      </c>
      <c r="G282" s="1">
        <f t="shared" si="13"/>
        <v>0</v>
      </c>
    </row>
    <row r="283" spans="1:7" ht="15.75" x14ac:dyDescent="0.25">
      <c r="A283" s="19"/>
      <c r="B283" s="168"/>
      <c r="C283" s="168"/>
      <c r="D283" s="396"/>
      <c r="F283" s="1">
        <f t="shared" si="12"/>
        <v>0</v>
      </c>
      <c r="G283" s="1">
        <f t="shared" si="13"/>
        <v>0</v>
      </c>
    </row>
    <row r="284" spans="1:7" ht="15.75" x14ac:dyDescent="0.25">
      <c r="A284" s="19"/>
      <c r="B284" s="168"/>
      <c r="C284" s="168"/>
      <c r="D284" s="396"/>
      <c r="F284" s="1">
        <f t="shared" si="12"/>
        <v>0</v>
      </c>
      <c r="G284" s="1">
        <f t="shared" si="13"/>
        <v>0</v>
      </c>
    </row>
    <row r="285" spans="1:7" ht="15.75" x14ac:dyDescent="0.25">
      <c r="A285" s="19"/>
      <c r="B285" s="168"/>
      <c r="C285" s="168"/>
      <c r="D285" s="396"/>
      <c r="F285" s="1">
        <f t="shared" si="12"/>
        <v>0</v>
      </c>
      <c r="G285" s="1">
        <f t="shared" si="13"/>
        <v>0</v>
      </c>
    </row>
    <row r="286" spans="1:7" ht="15.75" x14ac:dyDescent="0.25">
      <c r="A286" s="19"/>
      <c r="B286" s="168"/>
      <c r="C286" s="168"/>
      <c r="D286" s="396"/>
      <c r="F286" s="1">
        <f t="shared" si="12"/>
        <v>0</v>
      </c>
      <c r="G286" s="1">
        <f t="shared" si="13"/>
        <v>0</v>
      </c>
    </row>
    <row r="287" spans="1:7" ht="15.75" x14ac:dyDescent="0.25">
      <c r="A287" s="19"/>
      <c r="B287" s="168"/>
      <c r="C287" s="168"/>
      <c r="D287" s="396"/>
      <c r="F287" s="1">
        <f t="shared" si="12"/>
        <v>0</v>
      </c>
      <c r="G287" s="1">
        <f t="shared" si="13"/>
        <v>0</v>
      </c>
    </row>
    <row r="288" spans="1:7" ht="15.75" x14ac:dyDescent="0.25">
      <c r="A288" s="19"/>
      <c r="B288" s="168"/>
      <c r="C288" s="168"/>
      <c r="D288" s="396"/>
      <c r="F288" s="1">
        <f t="shared" si="12"/>
        <v>0</v>
      </c>
      <c r="G288" s="1">
        <f t="shared" si="13"/>
        <v>0</v>
      </c>
    </row>
    <row r="289" spans="1:7" ht="15.75" x14ac:dyDescent="0.25">
      <c r="A289" s="19"/>
      <c r="B289" s="168"/>
      <c r="C289" s="168"/>
      <c r="D289" s="396"/>
      <c r="F289" s="1">
        <f t="shared" si="12"/>
        <v>0</v>
      </c>
      <c r="G289" s="1">
        <f t="shared" si="13"/>
        <v>0</v>
      </c>
    </row>
    <row r="290" spans="1:7" ht="15.75" x14ac:dyDescent="0.25">
      <c r="A290" s="19"/>
      <c r="B290" s="168"/>
      <c r="C290" s="168"/>
      <c r="D290" s="396"/>
      <c r="F290" s="1">
        <f t="shared" si="12"/>
        <v>0</v>
      </c>
      <c r="G290" s="1">
        <f t="shared" si="13"/>
        <v>0</v>
      </c>
    </row>
    <row r="291" spans="1:7" ht="15.75" x14ac:dyDescent="0.25">
      <c r="A291" s="19"/>
      <c r="B291" s="168"/>
      <c r="C291" s="168"/>
      <c r="D291" s="396"/>
      <c r="F291" s="1">
        <f t="shared" si="12"/>
        <v>0</v>
      </c>
      <c r="G291" s="1">
        <f t="shared" si="13"/>
        <v>0</v>
      </c>
    </row>
    <row r="292" spans="1:7" ht="15.75" x14ac:dyDescent="0.25">
      <c r="A292" s="19"/>
      <c r="B292" s="168"/>
      <c r="C292" s="168"/>
      <c r="D292" s="396"/>
      <c r="F292" s="1">
        <f t="shared" si="12"/>
        <v>0</v>
      </c>
      <c r="G292" s="1">
        <f t="shared" si="13"/>
        <v>0</v>
      </c>
    </row>
    <row r="293" spans="1:7" ht="15.75" x14ac:dyDescent="0.25">
      <c r="A293" s="19"/>
      <c r="B293" s="168"/>
      <c r="C293" s="168"/>
      <c r="D293" s="396"/>
      <c r="F293" s="1">
        <f t="shared" si="12"/>
        <v>0</v>
      </c>
      <c r="G293" s="1">
        <f t="shared" si="13"/>
        <v>0</v>
      </c>
    </row>
    <row r="294" spans="1:7" ht="15.75" x14ac:dyDescent="0.25">
      <c r="A294" s="19"/>
      <c r="B294" s="168"/>
      <c r="C294" s="168"/>
      <c r="D294" s="396"/>
      <c r="F294" s="1">
        <f t="shared" si="12"/>
        <v>0</v>
      </c>
      <c r="G294" s="1">
        <f t="shared" si="13"/>
        <v>0</v>
      </c>
    </row>
    <row r="295" spans="1:7" ht="15.75" x14ac:dyDescent="0.25">
      <c r="A295" s="19"/>
      <c r="B295" s="168"/>
      <c r="C295" s="168"/>
      <c r="D295" s="396"/>
      <c r="F295" s="1">
        <f t="shared" si="12"/>
        <v>0</v>
      </c>
      <c r="G295" s="1">
        <f t="shared" si="13"/>
        <v>0</v>
      </c>
    </row>
    <row r="296" spans="1:7" ht="15.75" x14ac:dyDescent="0.25">
      <c r="A296" s="19"/>
      <c r="B296" s="168"/>
      <c r="C296" s="168"/>
      <c r="D296" s="396"/>
      <c r="F296" s="1">
        <f t="shared" si="12"/>
        <v>0</v>
      </c>
      <c r="G296" s="1">
        <f t="shared" si="13"/>
        <v>0</v>
      </c>
    </row>
    <row r="297" spans="1:7" ht="15.75" x14ac:dyDescent="0.25">
      <c r="A297" s="19"/>
      <c r="B297" s="168"/>
      <c r="C297" s="168"/>
      <c r="D297" s="396"/>
      <c r="F297" s="1">
        <f t="shared" si="12"/>
        <v>0</v>
      </c>
      <c r="G297" s="1">
        <f t="shared" si="13"/>
        <v>0</v>
      </c>
    </row>
    <row r="298" spans="1:7" ht="15.75" x14ac:dyDescent="0.25">
      <c r="A298" s="19"/>
      <c r="B298" s="168"/>
      <c r="C298" s="168"/>
      <c r="D298" s="396"/>
      <c r="F298" s="1">
        <f t="shared" si="12"/>
        <v>0</v>
      </c>
      <c r="G298" s="1">
        <f t="shared" si="13"/>
        <v>0</v>
      </c>
    </row>
    <row r="299" spans="1:7" ht="15.75" x14ac:dyDescent="0.25">
      <c r="A299" s="19"/>
      <c r="B299" s="168"/>
      <c r="C299" s="168"/>
      <c r="D299" s="396"/>
      <c r="F299" s="1">
        <f t="shared" si="12"/>
        <v>0</v>
      </c>
      <c r="G299" s="1">
        <f t="shared" si="13"/>
        <v>0</v>
      </c>
    </row>
    <row r="300" spans="1:7" ht="15.75" x14ac:dyDescent="0.25">
      <c r="A300" s="19"/>
      <c r="B300" s="168"/>
      <c r="C300" s="168"/>
      <c r="D300" s="396"/>
      <c r="F300" s="1">
        <f t="shared" si="12"/>
        <v>0</v>
      </c>
      <c r="G300" s="1">
        <f t="shared" si="13"/>
        <v>0</v>
      </c>
    </row>
    <row r="301" spans="1:7" ht="15.75" x14ac:dyDescent="0.25">
      <c r="A301" s="19"/>
      <c r="B301" s="168"/>
      <c r="C301" s="168"/>
      <c r="D301" s="396"/>
      <c r="F301" s="1">
        <f t="shared" si="12"/>
        <v>0</v>
      </c>
      <c r="G301" s="1">
        <f t="shared" si="13"/>
        <v>0</v>
      </c>
    </row>
    <row r="302" spans="1:7" ht="15.75" x14ac:dyDescent="0.25">
      <c r="A302" s="19"/>
      <c r="B302" s="168"/>
      <c r="C302" s="168"/>
      <c r="D302" s="396"/>
      <c r="F302" s="1">
        <f t="shared" si="12"/>
        <v>0</v>
      </c>
      <c r="G302" s="1">
        <f t="shared" si="13"/>
        <v>0</v>
      </c>
    </row>
    <row r="303" spans="1:7" ht="15.75" x14ac:dyDescent="0.25">
      <c r="A303" s="19"/>
      <c r="B303" s="168"/>
      <c r="C303" s="168"/>
      <c r="D303" s="396"/>
      <c r="F303" s="1">
        <f t="shared" si="12"/>
        <v>0</v>
      </c>
      <c r="G303" s="1">
        <f t="shared" si="13"/>
        <v>0</v>
      </c>
    </row>
    <row r="304" spans="1:7" ht="15.75" x14ac:dyDescent="0.25">
      <c r="A304" s="19"/>
      <c r="B304" s="168"/>
      <c r="C304" s="168"/>
      <c r="D304" s="396"/>
      <c r="F304" s="1">
        <f t="shared" si="12"/>
        <v>0</v>
      </c>
      <c r="G304" s="1">
        <f t="shared" si="13"/>
        <v>0</v>
      </c>
    </row>
    <row r="305" spans="1:7" ht="15.75" x14ac:dyDescent="0.25">
      <c r="A305" s="19"/>
      <c r="B305" s="168"/>
      <c r="C305" s="168"/>
      <c r="D305" s="396"/>
      <c r="F305" s="1">
        <f t="shared" si="12"/>
        <v>0</v>
      </c>
      <c r="G305" s="1">
        <f t="shared" si="13"/>
        <v>0</v>
      </c>
    </row>
    <row r="306" spans="1:7" ht="15.75" x14ac:dyDescent="0.25">
      <c r="A306" s="19"/>
      <c r="B306" s="168"/>
      <c r="C306" s="168"/>
      <c r="D306" s="396"/>
      <c r="F306" s="1">
        <f t="shared" si="12"/>
        <v>0</v>
      </c>
      <c r="G306" s="1">
        <f t="shared" si="13"/>
        <v>0</v>
      </c>
    </row>
    <row r="307" spans="1:7" ht="15.75" x14ac:dyDescent="0.25">
      <c r="A307" s="19"/>
      <c r="B307" s="168"/>
      <c r="C307" s="168"/>
      <c r="D307" s="396"/>
      <c r="F307" s="1">
        <f t="shared" si="12"/>
        <v>0</v>
      </c>
      <c r="G307" s="1">
        <f t="shared" si="13"/>
        <v>0</v>
      </c>
    </row>
    <row r="308" spans="1:7" ht="15.75" x14ac:dyDescent="0.25">
      <c r="A308" s="19"/>
      <c r="B308" s="168"/>
      <c r="C308" s="168"/>
      <c r="D308" s="396"/>
      <c r="F308" s="1">
        <f t="shared" si="12"/>
        <v>0</v>
      </c>
      <c r="G308" s="1">
        <f t="shared" si="13"/>
        <v>0</v>
      </c>
    </row>
    <row r="309" spans="1:7" ht="15.75" x14ac:dyDescent="0.25">
      <c r="A309" s="19"/>
      <c r="B309" s="168"/>
      <c r="C309" s="168"/>
      <c r="D309" s="396"/>
      <c r="F309" s="1">
        <f t="shared" si="12"/>
        <v>0</v>
      </c>
      <c r="G309" s="1">
        <f t="shared" si="13"/>
        <v>0</v>
      </c>
    </row>
    <row r="310" spans="1:7" ht="15.75" x14ac:dyDescent="0.25">
      <c r="A310" s="19"/>
      <c r="B310" s="168"/>
      <c r="C310" s="168"/>
      <c r="D310" s="396"/>
      <c r="F310" s="1">
        <f t="shared" si="12"/>
        <v>0</v>
      </c>
      <c r="G310" s="1">
        <f t="shared" si="13"/>
        <v>0</v>
      </c>
    </row>
    <row r="311" spans="1:7" ht="15.75" x14ac:dyDescent="0.25">
      <c r="A311" s="19"/>
      <c r="B311" s="168"/>
      <c r="C311" s="168"/>
      <c r="D311" s="396"/>
      <c r="F311" s="1">
        <f t="shared" si="12"/>
        <v>0</v>
      </c>
      <c r="G311" s="1">
        <f t="shared" si="13"/>
        <v>0</v>
      </c>
    </row>
    <row r="312" spans="1:7" ht="15.75" x14ac:dyDescent="0.25">
      <c r="A312" s="19"/>
      <c r="B312" s="168"/>
      <c r="C312" s="168"/>
      <c r="D312" s="396"/>
      <c r="F312" s="1">
        <f t="shared" si="12"/>
        <v>0</v>
      </c>
      <c r="G312" s="1">
        <f t="shared" si="13"/>
        <v>0</v>
      </c>
    </row>
    <row r="313" spans="1:7" ht="15.75" x14ac:dyDescent="0.25">
      <c r="A313" s="19"/>
      <c r="B313" s="168"/>
      <c r="C313" s="168"/>
      <c r="D313" s="396"/>
      <c r="F313" s="1">
        <f t="shared" si="12"/>
        <v>0</v>
      </c>
      <c r="G313" s="1">
        <f t="shared" si="13"/>
        <v>0</v>
      </c>
    </row>
    <row r="314" spans="1:7" ht="15.75" x14ac:dyDescent="0.25">
      <c r="A314" s="19"/>
      <c r="B314" s="168"/>
      <c r="C314" s="168"/>
      <c r="D314" s="396"/>
      <c r="F314" s="1">
        <f t="shared" si="12"/>
        <v>0</v>
      </c>
      <c r="G314" s="1">
        <f t="shared" si="13"/>
        <v>0</v>
      </c>
    </row>
    <row r="315" spans="1:7" ht="15.75" x14ac:dyDescent="0.25">
      <c r="A315" s="19"/>
      <c r="B315" s="168"/>
      <c r="C315" s="168"/>
      <c r="D315" s="396"/>
      <c r="F315" s="1">
        <f t="shared" si="12"/>
        <v>0</v>
      </c>
      <c r="G315" s="1">
        <f t="shared" si="13"/>
        <v>0</v>
      </c>
    </row>
    <row r="316" spans="1:7" ht="15.75" x14ac:dyDescent="0.25">
      <c r="A316" s="19"/>
      <c r="B316" s="168"/>
      <c r="C316" s="168"/>
      <c r="D316" s="396"/>
      <c r="F316" s="1">
        <f t="shared" si="12"/>
        <v>0</v>
      </c>
      <c r="G316" s="1">
        <f t="shared" si="13"/>
        <v>0</v>
      </c>
    </row>
    <row r="317" spans="1:7" ht="15.75" x14ac:dyDescent="0.25">
      <c r="A317" s="19"/>
      <c r="B317" s="168"/>
      <c r="C317" s="168"/>
      <c r="D317" s="396"/>
      <c r="F317" s="1">
        <f t="shared" si="12"/>
        <v>0</v>
      </c>
      <c r="G317" s="1">
        <f t="shared" si="13"/>
        <v>0</v>
      </c>
    </row>
    <row r="318" spans="1:7" ht="15.75" x14ac:dyDescent="0.25">
      <c r="A318" s="19"/>
      <c r="B318" s="168"/>
      <c r="C318" s="168"/>
      <c r="D318" s="396"/>
      <c r="F318" s="1">
        <f t="shared" si="12"/>
        <v>0</v>
      </c>
      <c r="G318" s="1">
        <f t="shared" si="13"/>
        <v>0</v>
      </c>
    </row>
    <row r="319" spans="1:7" ht="15.75" x14ac:dyDescent="0.25">
      <c r="A319" s="19"/>
      <c r="B319" s="168"/>
      <c r="C319" s="168"/>
      <c r="D319" s="396"/>
      <c r="F319" s="1">
        <f t="shared" si="12"/>
        <v>0</v>
      </c>
      <c r="G319" s="1">
        <f t="shared" si="13"/>
        <v>0</v>
      </c>
    </row>
    <row r="320" spans="1:7" ht="15.75" x14ac:dyDescent="0.25">
      <c r="A320" s="19"/>
      <c r="B320" s="168"/>
      <c r="C320" s="168"/>
      <c r="D320" s="396"/>
      <c r="F320" s="1">
        <f t="shared" si="12"/>
        <v>0</v>
      </c>
      <c r="G320" s="1">
        <f t="shared" si="13"/>
        <v>0</v>
      </c>
    </row>
    <row r="321" spans="1:7" ht="15.75" x14ac:dyDescent="0.25">
      <c r="A321" s="19"/>
      <c r="B321" s="168"/>
      <c r="C321" s="168"/>
      <c r="D321" s="396"/>
      <c r="F321" s="1">
        <f t="shared" si="12"/>
        <v>0</v>
      </c>
      <c r="G321" s="1">
        <f t="shared" si="13"/>
        <v>0</v>
      </c>
    </row>
    <row r="322" spans="1:7" ht="15.75" x14ac:dyDescent="0.25">
      <c r="A322" s="19"/>
      <c r="B322" s="168"/>
      <c r="C322" s="168"/>
      <c r="D322" s="396"/>
      <c r="F322" s="1">
        <f t="shared" si="12"/>
        <v>0</v>
      </c>
      <c r="G322" s="1">
        <f t="shared" si="13"/>
        <v>0</v>
      </c>
    </row>
    <row r="323" spans="1:7" ht="15.75" x14ac:dyDescent="0.25">
      <c r="A323" s="19"/>
      <c r="B323" s="168"/>
      <c r="C323" s="168"/>
      <c r="D323" s="396"/>
      <c r="F323" s="1">
        <f t="shared" si="12"/>
        <v>0</v>
      </c>
      <c r="G323" s="1">
        <f t="shared" si="13"/>
        <v>0</v>
      </c>
    </row>
    <row r="324" spans="1:7" ht="15.75" x14ac:dyDescent="0.25">
      <c r="A324" s="19"/>
      <c r="B324" s="168"/>
      <c r="C324" s="168"/>
      <c r="D324" s="396"/>
      <c r="F324" s="1">
        <f t="shared" si="12"/>
        <v>0</v>
      </c>
      <c r="G324" s="1">
        <f t="shared" si="13"/>
        <v>0</v>
      </c>
    </row>
    <row r="325" spans="1:7" ht="15.75" x14ac:dyDescent="0.25">
      <c r="A325" s="19"/>
      <c r="B325" s="168"/>
      <c r="C325" s="168"/>
      <c r="D325" s="396"/>
      <c r="F325" s="1">
        <f t="shared" si="12"/>
        <v>0</v>
      </c>
      <c r="G325" s="1">
        <f t="shared" si="13"/>
        <v>0</v>
      </c>
    </row>
    <row r="326" spans="1:7" ht="15.75" x14ac:dyDescent="0.25">
      <c r="A326" s="19"/>
      <c r="B326" s="168"/>
      <c r="C326" s="168"/>
      <c r="D326" s="396"/>
      <c r="F326" s="1">
        <f t="shared" si="12"/>
        <v>0</v>
      </c>
      <c r="G326" s="1">
        <f t="shared" si="13"/>
        <v>0</v>
      </c>
    </row>
    <row r="327" spans="1:7" ht="15.75" x14ac:dyDescent="0.25">
      <c r="A327" s="19"/>
      <c r="B327" s="168"/>
      <c r="C327" s="168"/>
      <c r="D327" s="396"/>
      <c r="F327" s="1">
        <f t="shared" si="12"/>
        <v>0</v>
      </c>
      <c r="G327" s="1">
        <f t="shared" si="13"/>
        <v>0</v>
      </c>
    </row>
    <row r="328" spans="1:7" ht="15.75" x14ac:dyDescent="0.25">
      <c r="A328" s="19"/>
      <c r="B328" s="168"/>
      <c r="C328" s="168"/>
      <c r="D328" s="396"/>
      <c r="F328" s="1">
        <f t="shared" si="12"/>
        <v>0</v>
      </c>
      <c r="G328" s="1">
        <f t="shared" si="13"/>
        <v>0</v>
      </c>
    </row>
    <row r="329" spans="1:7" ht="15.75" x14ac:dyDescent="0.25">
      <c r="A329" s="19"/>
      <c r="B329" s="168"/>
      <c r="C329" s="168"/>
      <c r="D329" s="396"/>
      <c r="F329" s="1">
        <f t="shared" si="12"/>
        <v>0</v>
      </c>
      <c r="G329" s="1">
        <f t="shared" si="13"/>
        <v>0</v>
      </c>
    </row>
    <row r="330" spans="1:7" ht="15.75" x14ac:dyDescent="0.25">
      <c r="A330" s="19"/>
      <c r="B330" s="168"/>
      <c r="C330" s="168"/>
      <c r="D330" s="396"/>
      <c r="F330" s="1">
        <f t="shared" si="12"/>
        <v>0</v>
      </c>
      <c r="G330" s="1">
        <f t="shared" si="13"/>
        <v>0</v>
      </c>
    </row>
    <row r="331" spans="1:7" ht="15.75" x14ac:dyDescent="0.25">
      <c r="A331" s="19"/>
      <c r="B331" s="168"/>
      <c r="C331" s="168"/>
      <c r="D331" s="396"/>
      <c r="F331" s="1">
        <f t="shared" si="12"/>
        <v>0</v>
      </c>
      <c r="G331" s="1">
        <f t="shared" si="13"/>
        <v>0</v>
      </c>
    </row>
    <row r="332" spans="1:7" ht="15.75" x14ac:dyDescent="0.25">
      <c r="A332" s="19"/>
      <c r="B332" s="168"/>
      <c r="C332" s="168"/>
      <c r="D332" s="396"/>
      <c r="F332" s="1">
        <f t="shared" si="12"/>
        <v>0</v>
      </c>
      <c r="G332" s="1">
        <f t="shared" si="13"/>
        <v>0</v>
      </c>
    </row>
    <row r="333" spans="1:7" ht="15.75" x14ac:dyDescent="0.25">
      <c r="A333" s="19"/>
      <c r="B333" s="168"/>
      <c r="C333" s="168"/>
      <c r="D333" s="396"/>
      <c r="F333" s="1">
        <f t="shared" si="12"/>
        <v>0</v>
      </c>
      <c r="G333" s="1">
        <f t="shared" si="13"/>
        <v>0</v>
      </c>
    </row>
    <row r="334" spans="1:7" ht="15.75" x14ac:dyDescent="0.25">
      <c r="A334" s="19"/>
      <c r="B334" s="168"/>
      <c r="C334" s="168"/>
      <c r="D334" s="396"/>
      <c r="F334" s="1">
        <f t="shared" si="12"/>
        <v>0</v>
      </c>
      <c r="G334" s="1">
        <f t="shared" si="13"/>
        <v>0</v>
      </c>
    </row>
    <row r="335" spans="1:7" ht="15.75" x14ac:dyDescent="0.25">
      <c r="A335" s="19"/>
      <c r="B335" s="168"/>
      <c r="C335" s="168"/>
      <c r="D335" s="396"/>
      <c r="F335" s="1">
        <f t="shared" si="12"/>
        <v>0</v>
      </c>
      <c r="G335" s="1">
        <f t="shared" si="13"/>
        <v>0</v>
      </c>
    </row>
    <row r="336" spans="1:7" ht="15.75" x14ac:dyDescent="0.25">
      <c r="A336" s="19"/>
      <c r="B336" s="168"/>
      <c r="C336" s="168"/>
      <c r="D336" s="396"/>
      <c r="F336" s="1">
        <f t="shared" si="12"/>
        <v>0</v>
      </c>
      <c r="G336" s="1">
        <f t="shared" si="13"/>
        <v>0</v>
      </c>
    </row>
    <row r="337" spans="1:7" ht="15.75" x14ac:dyDescent="0.25">
      <c r="A337" s="19"/>
      <c r="B337" s="168"/>
      <c r="C337" s="168"/>
      <c r="D337" s="396"/>
      <c r="F337" s="1">
        <f t="shared" si="12"/>
        <v>0</v>
      </c>
      <c r="G337" s="1">
        <f t="shared" si="13"/>
        <v>0</v>
      </c>
    </row>
    <row r="338" spans="1:7" ht="15.75" x14ac:dyDescent="0.25">
      <c r="A338" s="19"/>
      <c r="B338" s="168"/>
      <c r="C338" s="168"/>
      <c r="D338" s="396"/>
      <c r="F338" s="1">
        <f t="shared" si="12"/>
        <v>0</v>
      </c>
      <c r="G338" s="1">
        <f t="shared" si="13"/>
        <v>0</v>
      </c>
    </row>
    <row r="339" spans="1:7" ht="15.75" x14ac:dyDescent="0.25">
      <c r="A339" s="19"/>
      <c r="B339" s="168"/>
      <c r="C339" s="168"/>
      <c r="D339" s="396"/>
      <c r="F339" s="1">
        <f t="shared" si="12"/>
        <v>0</v>
      </c>
      <c r="G339" s="1">
        <f t="shared" si="13"/>
        <v>0</v>
      </c>
    </row>
    <row r="340" spans="1:7" ht="15.75" x14ac:dyDescent="0.25">
      <c r="A340" s="19"/>
      <c r="B340" s="168"/>
      <c r="C340" s="168"/>
      <c r="D340" s="396"/>
      <c r="F340" s="1">
        <f t="shared" si="12"/>
        <v>0</v>
      </c>
      <c r="G340" s="1">
        <f t="shared" si="13"/>
        <v>0</v>
      </c>
    </row>
    <row r="341" spans="1:7" ht="15.75" x14ac:dyDescent="0.25">
      <c r="A341" s="19"/>
      <c r="B341" s="168"/>
      <c r="C341" s="168"/>
      <c r="D341" s="396"/>
      <c r="F341" s="1">
        <f t="shared" ref="F341:F371" si="14">LEN(B341)</f>
        <v>0</v>
      </c>
      <c r="G341" s="1">
        <f t="shared" ref="G341:G371" si="15">LEN(C341)</f>
        <v>0</v>
      </c>
    </row>
    <row r="342" spans="1:7" ht="15.75" x14ac:dyDescent="0.25">
      <c r="A342" s="19"/>
      <c r="B342" s="168"/>
      <c r="C342" s="168"/>
      <c r="D342" s="396"/>
      <c r="F342" s="1">
        <f t="shared" si="14"/>
        <v>0</v>
      </c>
      <c r="G342" s="1">
        <f t="shared" si="15"/>
        <v>0</v>
      </c>
    </row>
    <row r="343" spans="1:7" ht="15.75" x14ac:dyDescent="0.25">
      <c r="A343" s="19"/>
      <c r="B343" s="168"/>
      <c r="C343" s="168"/>
      <c r="D343" s="396"/>
      <c r="F343" s="1">
        <f t="shared" si="14"/>
        <v>0</v>
      </c>
      <c r="G343" s="1">
        <f t="shared" si="15"/>
        <v>0</v>
      </c>
    </row>
    <row r="344" spans="1:7" ht="15.75" x14ac:dyDescent="0.25">
      <c r="A344" s="19"/>
      <c r="B344" s="168"/>
      <c r="C344" s="168"/>
      <c r="D344" s="396"/>
      <c r="F344" s="1">
        <f t="shared" si="14"/>
        <v>0</v>
      </c>
      <c r="G344" s="1">
        <f t="shared" si="15"/>
        <v>0</v>
      </c>
    </row>
    <row r="345" spans="1:7" ht="15.75" x14ac:dyDescent="0.25">
      <c r="A345" s="19"/>
      <c r="B345" s="168"/>
      <c r="C345" s="168"/>
      <c r="D345" s="396"/>
      <c r="F345" s="1">
        <f t="shared" si="14"/>
        <v>0</v>
      </c>
      <c r="G345" s="1">
        <f t="shared" si="15"/>
        <v>0</v>
      </c>
    </row>
    <row r="346" spans="1:7" ht="15.75" x14ac:dyDescent="0.25">
      <c r="A346" s="19"/>
      <c r="B346" s="168"/>
      <c r="C346" s="168"/>
      <c r="D346" s="396"/>
      <c r="F346" s="1">
        <f t="shared" si="14"/>
        <v>0</v>
      </c>
      <c r="G346" s="1">
        <f t="shared" si="15"/>
        <v>0</v>
      </c>
    </row>
    <row r="347" spans="1:7" ht="15.75" x14ac:dyDescent="0.25">
      <c r="A347" s="19"/>
      <c r="B347" s="168"/>
      <c r="C347" s="168"/>
      <c r="D347" s="396"/>
      <c r="F347" s="1">
        <f t="shared" si="14"/>
        <v>0</v>
      </c>
      <c r="G347" s="1">
        <f t="shared" si="15"/>
        <v>0</v>
      </c>
    </row>
    <row r="348" spans="1:7" ht="15.75" x14ac:dyDescent="0.25">
      <c r="A348" s="19"/>
      <c r="B348" s="168"/>
      <c r="C348" s="168"/>
      <c r="D348" s="396"/>
      <c r="F348" s="1">
        <f t="shared" si="14"/>
        <v>0</v>
      </c>
      <c r="G348" s="1">
        <f t="shared" si="15"/>
        <v>0</v>
      </c>
    </row>
    <row r="349" spans="1:7" ht="15.75" x14ac:dyDescent="0.25">
      <c r="A349" s="19"/>
      <c r="B349" s="168"/>
      <c r="C349" s="168"/>
      <c r="D349" s="396"/>
      <c r="F349" s="1">
        <f t="shared" si="14"/>
        <v>0</v>
      </c>
      <c r="G349" s="1">
        <f t="shared" si="15"/>
        <v>0</v>
      </c>
    </row>
    <row r="350" spans="1:7" ht="15.75" x14ac:dyDescent="0.25">
      <c r="A350" s="19"/>
      <c r="B350" s="168"/>
      <c r="C350" s="168"/>
      <c r="D350" s="396"/>
      <c r="F350" s="1">
        <f t="shared" si="14"/>
        <v>0</v>
      </c>
      <c r="G350" s="1">
        <f t="shared" si="15"/>
        <v>0</v>
      </c>
    </row>
    <row r="351" spans="1:7" ht="15.75" x14ac:dyDescent="0.25">
      <c r="A351" s="19"/>
      <c r="B351" s="168"/>
      <c r="C351" s="168"/>
      <c r="D351" s="396"/>
      <c r="F351" s="1">
        <f t="shared" si="14"/>
        <v>0</v>
      </c>
      <c r="G351" s="1">
        <f t="shared" si="15"/>
        <v>0</v>
      </c>
    </row>
    <row r="352" spans="1:7" ht="15.75" x14ac:dyDescent="0.25">
      <c r="A352" s="19"/>
      <c r="B352" s="168"/>
      <c r="C352" s="168"/>
      <c r="D352" s="396"/>
      <c r="F352" s="1">
        <f t="shared" si="14"/>
        <v>0</v>
      </c>
      <c r="G352" s="1">
        <f t="shared" si="15"/>
        <v>0</v>
      </c>
    </row>
    <row r="353" spans="1:7" ht="15.75" x14ac:dyDescent="0.25">
      <c r="A353" s="19"/>
      <c r="B353" s="168"/>
      <c r="C353" s="168"/>
      <c r="D353" s="396"/>
      <c r="F353" s="1">
        <f t="shared" si="14"/>
        <v>0</v>
      </c>
      <c r="G353" s="1">
        <f t="shared" si="15"/>
        <v>0</v>
      </c>
    </row>
    <row r="354" spans="1:7" ht="15.75" x14ac:dyDescent="0.25">
      <c r="A354" s="19"/>
      <c r="B354" s="168"/>
      <c r="C354" s="168"/>
      <c r="D354" s="396"/>
      <c r="F354" s="1">
        <f t="shared" si="14"/>
        <v>0</v>
      </c>
      <c r="G354" s="1">
        <f t="shared" si="15"/>
        <v>0</v>
      </c>
    </row>
    <row r="355" spans="1:7" ht="15.75" x14ac:dyDescent="0.25">
      <c r="A355" s="19"/>
      <c r="B355" s="168"/>
      <c r="C355" s="168"/>
      <c r="D355" s="396"/>
      <c r="F355" s="1">
        <f t="shared" si="14"/>
        <v>0</v>
      </c>
      <c r="G355" s="1">
        <f t="shared" si="15"/>
        <v>0</v>
      </c>
    </row>
    <row r="356" spans="1:7" ht="15.75" x14ac:dyDescent="0.25">
      <c r="A356" s="19"/>
      <c r="B356" s="168"/>
      <c r="C356" s="168"/>
      <c r="D356" s="396"/>
      <c r="F356" s="1">
        <f t="shared" si="14"/>
        <v>0</v>
      </c>
      <c r="G356" s="1">
        <f t="shared" si="15"/>
        <v>0</v>
      </c>
    </row>
    <row r="357" spans="1:7" ht="15.75" x14ac:dyDescent="0.25">
      <c r="A357" s="19"/>
      <c r="B357" s="168"/>
      <c r="C357" s="168"/>
      <c r="D357" s="396"/>
      <c r="F357" s="1">
        <f t="shared" si="14"/>
        <v>0</v>
      </c>
      <c r="G357" s="1">
        <f t="shared" si="15"/>
        <v>0</v>
      </c>
    </row>
    <row r="358" spans="1:7" ht="15.75" x14ac:dyDescent="0.25">
      <c r="A358" s="19"/>
      <c r="B358" s="168"/>
      <c r="C358" s="168"/>
      <c r="D358" s="396"/>
      <c r="F358" s="1">
        <f t="shared" si="14"/>
        <v>0</v>
      </c>
      <c r="G358" s="1">
        <f t="shared" si="15"/>
        <v>0</v>
      </c>
    </row>
    <row r="359" spans="1:7" ht="15.75" x14ac:dyDescent="0.25">
      <c r="A359" s="19"/>
      <c r="B359" s="168"/>
      <c r="C359" s="168"/>
      <c r="D359" s="396"/>
      <c r="F359" s="1">
        <f t="shared" si="14"/>
        <v>0</v>
      </c>
      <c r="G359" s="1">
        <f t="shared" si="15"/>
        <v>0</v>
      </c>
    </row>
    <row r="360" spans="1:7" ht="15.75" x14ac:dyDescent="0.25">
      <c r="A360" s="19"/>
      <c r="B360" s="168"/>
      <c r="C360" s="168"/>
      <c r="D360" s="396"/>
      <c r="F360" s="1">
        <f t="shared" si="14"/>
        <v>0</v>
      </c>
      <c r="G360" s="1">
        <f t="shared" si="15"/>
        <v>0</v>
      </c>
    </row>
    <row r="361" spans="1:7" ht="15.75" x14ac:dyDescent="0.25">
      <c r="A361" s="19"/>
      <c r="B361" s="168"/>
      <c r="C361" s="168"/>
      <c r="D361" s="396"/>
      <c r="F361" s="1">
        <f t="shared" si="14"/>
        <v>0</v>
      </c>
      <c r="G361" s="1">
        <f t="shared" si="15"/>
        <v>0</v>
      </c>
    </row>
    <row r="362" spans="1:7" ht="15.75" x14ac:dyDescent="0.25">
      <c r="A362" s="19"/>
      <c r="B362" s="168"/>
      <c r="C362" s="168"/>
      <c r="D362" s="396"/>
      <c r="F362" s="1">
        <f t="shared" si="14"/>
        <v>0</v>
      </c>
      <c r="G362" s="1">
        <f t="shared" si="15"/>
        <v>0</v>
      </c>
    </row>
    <row r="363" spans="1:7" ht="15.75" x14ac:dyDescent="0.25">
      <c r="A363" s="19"/>
      <c r="B363" s="168"/>
      <c r="C363" s="168"/>
      <c r="D363" s="396"/>
      <c r="F363" s="1">
        <f t="shared" si="14"/>
        <v>0</v>
      </c>
      <c r="G363" s="1">
        <f t="shared" si="15"/>
        <v>0</v>
      </c>
    </row>
    <row r="364" spans="1:7" ht="15.75" x14ac:dyDescent="0.25">
      <c r="A364" s="19"/>
      <c r="B364" s="168"/>
      <c r="C364" s="168"/>
      <c r="D364" s="396"/>
      <c r="F364" s="1">
        <f t="shared" si="14"/>
        <v>0</v>
      </c>
      <c r="G364" s="1">
        <f t="shared" si="15"/>
        <v>0</v>
      </c>
    </row>
    <row r="365" spans="1:7" ht="15.75" x14ac:dyDescent="0.25">
      <c r="A365" s="19"/>
      <c r="B365" s="168"/>
      <c r="C365" s="168"/>
      <c r="D365" s="396"/>
      <c r="F365" s="1">
        <f t="shared" si="14"/>
        <v>0</v>
      </c>
      <c r="G365" s="1">
        <f t="shared" si="15"/>
        <v>0</v>
      </c>
    </row>
    <row r="366" spans="1:7" ht="15.75" x14ac:dyDescent="0.25">
      <c r="A366" s="19"/>
      <c r="B366" s="168"/>
      <c r="C366" s="168"/>
      <c r="D366" s="396"/>
      <c r="F366" s="1">
        <f t="shared" si="14"/>
        <v>0</v>
      </c>
      <c r="G366" s="1">
        <f t="shared" si="15"/>
        <v>0</v>
      </c>
    </row>
    <row r="367" spans="1:7" ht="15.75" x14ac:dyDescent="0.25">
      <c r="A367" s="19"/>
      <c r="B367" s="168"/>
      <c r="C367" s="168"/>
      <c r="D367" s="396"/>
      <c r="F367" s="1">
        <f t="shared" si="14"/>
        <v>0</v>
      </c>
      <c r="G367" s="1">
        <f t="shared" si="15"/>
        <v>0</v>
      </c>
    </row>
    <row r="368" spans="1:7" ht="15.75" x14ac:dyDescent="0.25">
      <c r="A368" s="19"/>
      <c r="B368" s="168"/>
      <c r="C368" s="168"/>
      <c r="D368" s="396"/>
      <c r="F368" s="1">
        <f t="shared" si="14"/>
        <v>0</v>
      </c>
      <c r="G368" s="1">
        <f t="shared" si="15"/>
        <v>0</v>
      </c>
    </row>
    <row r="369" spans="1:7" ht="15.75" x14ac:dyDescent="0.25">
      <c r="A369" s="19"/>
      <c r="B369" s="168"/>
      <c r="C369" s="168"/>
      <c r="D369" s="396"/>
      <c r="F369" s="1">
        <f t="shared" si="14"/>
        <v>0</v>
      </c>
      <c r="G369" s="1">
        <f t="shared" si="15"/>
        <v>0</v>
      </c>
    </row>
    <row r="370" spans="1:7" ht="15.75" x14ac:dyDescent="0.25">
      <c r="A370" s="19"/>
      <c r="B370" s="168"/>
      <c r="C370" s="168"/>
      <c r="D370" s="396"/>
      <c r="F370" s="1">
        <f t="shared" si="14"/>
        <v>0</v>
      </c>
      <c r="G370" s="1">
        <f t="shared" si="15"/>
        <v>0</v>
      </c>
    </row>
    <row r="371" spans="1:7" ht="15.75" x14ac:dyDescent="0.25">
      <c r="A371" s="19"/>
      <c r="B371" s="168"/>
      <c r="C371" s="168"/>
      <c r="D371" s="396"/>
      <c r="F371" s="1">
        <f t="shared" si="14"/>
        <v>0</v>
      </c>
      <c r="G371" s="1">
        <f t="shared" si="15"/>
        <v>0</v>
      </c>
    </row>
    <row r="372" spans="1:7" ht="15.75" x14ac:dyDescent="0.25">
      <c r="A372" s="19"/>
      <c r="B372" s="168"/>
      <c r="C372" s="168"/>
      <c r="D372" s="396"/>
      <c r="F372" s="9">
        <f>LEN(B372)</f>
        <v>0</v>
      </c>
      <c r="G372" s="9">
        <f t="shared" si="7"/>
        <v>0</v>
      </c>
    </row>
    <row r="373" spans="1:7" ht="15.75" x14ac:dyDescent="0.25">
      <c r="A373" s="19"/>
      <c r="B373" s="168"/>
      <c r="C373" s="168"/>
      <c r="D373" s="396"/>
      <c r="F373" s="9">
        <f t="shared" si="6"/>
        <v>0</v>
      </c>
      <c r="G373" s="9">
        <f t="shared" si="7"/>
        <v>0</v>
      </c>
    </row>
    <row r="374" spans="1:7" ht="13.5" customHeight="1" x14ac:dyDescent="0.25">
      <c r="A374" s="11"/>
      <c r="B374" s="169"/>
      <c r="C374" s="169"/>
      <c r="D374" s="166"/>
    </row>
    <row r="375" spans="1:7" x14ac:dyDescent="0.25">
      <c r="F375" s="685"/>
    </row>
    <row r="376" spans="1:7" x14ac:dyDescent="0.25">
      <c r="A376" s="14"/>
      <c r="B376" s="14"/>
      <c r="C376" s="14"/>
      <c r="D376" s="14"/>
      <c r="F376" s="685"/>
    </row>
    <row r="377" spans="1:7" ht="31.5" customHeight="1" x14ac:dyDescent="0.25">
      <c r="A377" s="12"/>
      <c r="B377" s="15"/>
      <c r="C377" s="15"/>
      <c r="D377" s="15"/>
    </row>
    <row r="378" spans="1:7" x14ac:dyDescent="0.25">
      <c r="A378" s="12"/>
      <c r="B378" s="12"/>
      <c r="C378" s="12"/>
      <c r="D378" s="12"/>
    </row>
    <row r="379" spans="1:7" x14ac:dyDescent="0.25">
      <c r="A379" s="12"/>
      <c r="B379" s="12"/>
      <c r="C379" s="12"/>
      <c r="D379" s="12"/>
    </row>
    <row r="384" spans="1:7" x14ac:dyDescent="0.25">
      <c r="B384" s="16"/>
      <c r="C384" s="16"/>
    </row>
    <row r="385" spans="2:3" x14ac:dyDescent="0.25">
      <c r="B385" s="17"/>
      <c r="C385" s="17"/>
    </row>
    <row r="386" spans="2:3" x14ac:dyDescent="0.25">
      <c r="B386" s="18"/>
      <c r="C386" s="18"/>
    </row>
  </sheetData>
  <sheetProtection password="CF98" sheet="1" formatCells="0" formatColumns="0" formatRows="0" insertHyperlinks="0" sort="0" autoFilter="0" pivotTables="0"/>
  <autoFilter ref="A64:G373"/>
  <mergeCells count="7">
    <mergeCell ref="A10:C10"/>
    <mergeCell ref="A2:D2"/>
    <mergeCell ref="B8:B9"/>
    <mergeCell ref="A8:A9"/>
    <mergeCell ref="A4:D4"/>
    <mergeCell ref="D8:D9"/>
    <mergeCell ref="C8:C9"/>
  </mergeCells>
  <conditionalFormatting sqref="D65:D69 D85:D374 D71:D82">
    <cfRule type="expression" dxfId="208" priority="35">
      <formula>IFERROR(SUMIF($B$65:$B$374,B65,$D$65:$D$374)&lt;VLOOKUP(B65,$B$12:$D$64,3,FALSE),"-")</formula>
    </cfRule>
    <cfRule type="expression" dxfId="207" priority="36">
      <formula>IFERROR(SUMIF($B$65:$B$374,B65,$D$65:$D$374)&gt;VLOOKUP(B65,$B$12:$D$64,3,FALSE),"-")</formula>
    </cfRule>
  </conditionalFormatting>
  <conditionalFormatting sqref="F12:G374">
    <cfRule type="cellIs" dxfId="206" priority="34" operator="greaterThan">
      <formula>255</formula>
    </cfRule>
  </conditionalFormatting>
  <conditionalFormatting sqref="D10">
    <cfRule type="cellIs" dxfId="205" priority="750" operator="greaterThan">
      <formula>$A$6</formula>
    </cfRule>
  </conditionalFormatting>
  <conditionalFormatting sqref="D83:D84">
    <cfRule type="expression" dxfId="204" priority="3">
      <formula>IFERROR(SUMIF($B$65:$B$374,B83,$D$65:$D$374)&lt;VLOOKUP(B83,$B$12:$D$64,3,FALSE),"-")</formula>
    </cfRule>
    <cfRule type="expression" dxfId="203" priority="4">
      <formula>IFERROR(SUMIF($B$65:$B$374,B83,$D$65:$D$374)&gt;VLOOKUP(B83,$B$12:$D$64,3,FALSE),"-")</formula>
    </cfRule>
  </conditionalFormatting>
  <conditionalFormatting sqref="D70">
    <cfRule type="expression" dxfId="202" priority="1">
      <formula>IFERROR(SUMIF($B$65:$B$374,B70,$D$65:$D$374)&lt;VLOOKUP(B70,$B$12:$D$64,3,FALSE),"-")</formula>
    </cfRule>
    <cfRule type="expression" dxfId="201" priority="2">
      <formula>IFERROR(SUMIF($B$65:$B$374,B70,$D$65:$D$374)&gt;VLOOKUP(B70,$B$12:$D$64,3,FALSE),"-")</formula>
    </cfRule>
  </conditionalFormatting>
  <dataValidations xWindow="220" yWindow="847" count="2">
    <dataValidation type="custom" allowBlank="1" showInputMessage="1" showErrorMessage="1" sqref="A5">
      <formula1>"$U$6:$U7"</formula1>
    </dataValidation>
    <dataValidation type="list" allowBlank="1" showInputMessage="1" showErrorMessage="1" prompt="Выбрать из списка" sqref="B65:B374">
      <formula1>$B$12:$B$64</formula1>
    </dataValidation>
  </dataValidations>
  <printOptions horizontalCentered="1"/>
  <pageMargins left="0.70866141732283472" right="0.70866141732283472" top="0.74803149606299213" bottom="0.74803149606299213" header="0" footer="0"/>
  <pageSetup paperSize="9" scale="4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20" yWindow="847" count="1">
        <x14:dataValidation type="list" allowBlank="1" showInputMessage="1" showErrorMessage="1">
          <x14:formula1>
            <xm:f>справочник!$M$3</xm:f>
          </x14:formula1>
          <xm:sqref>B1:C1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92D050"/>
    <outlinePr summaryBelow="0" summaryRight="0"/>
    <pageSetUpPr fitToPage="1"/>
  </sheetPr>
  <dimension ref="A1:BG713"/>
  <sheetViews>
    <sheetView zoomScale="55" zoomScaleNormal="55" zoomScaleSheetLayoutView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D500" sqref="D500"/>
    </sheetView>
  </sheetViews>
  <sheetFormatPr defaultColWidth="9.140625" defaultRowHeight="15.75" outlineLevelCol="1" x14ac:dyDescent="0.25"/>
  <cols>
    <col min="1" max="1" width="16.42578125" style="356" customWidth="1"/>
    <col min="2" max="2" width="76" style="356" customWidth="1"/>
    <col min="3" max="3" width="59.5703125" style="356" customWidth="1"/>
    <col min="4" max="4" width="46.140625" style="356" customWidth="1"/>
    <col min="5" max="5" width="34.5703125" style="356" customWidth="1"/>
    <col min="6" max="6" width="38.5703125" style="356" customWidth="1"/>
    <col min="7" max="7" width="16.140625" style="356" customWidth="1"/>
    <col min="8" max="8" width="20.140625" style="356" customWidth="1" collapsed="1"/>
    <col min="9" max="9" width="20.140625" style="356" hidden="1" customWidth="1" outlineLevel="1"/>
    <col min="10" max="10" width="20.140625" style="356" customWidth="1"/>
    <col min="11" max="11" width="70" bestFit="1" customWidth="1"/>
    <col min="12" max="12" width="10.28515625" style="356" bestFit="1" customWidth="1"/>
    <col min="13" max="13" width="18.5703125" style="356" customWidth="1"/>
    <col min="14" max="14" width="16.42578125" style="356" customWidth="1"/>
    <col min="15" max="15" width="13.5703125" style="356" customWidth="1"/>
    <col min="16" max="16" width="18.7109375" style="356" customWidth="1"/>
    <col min="17" max="17" width="12.28515625" style="356" customWidth="1"/>
    <col min="18" max="16384" width="9.140625" style="356"/>
  </cols>
  <sheetData>
    <row r="1" spans="1:17" x14ac:dyDescent="0.25">
      <c r="F1" s="357"/>
    </row>
    <row r="2" spans="1:17" ht="20.25" x14ac:dyDescent="0.25">
      <c r="A2" s="804" t="s">
        <v>235</v>
      </c>
      <c r="B2" s="804"/>
      <c r="C2" s="804"/>
      <c r="D2" s="804"/>
      <c r="E2" s="804"/>
      <c r="F2" s="804"/>
      <c r="G2" s="804"/>
      <c r="H2" s="804"/>
      <c r="I2" s="358"/>
      <c r="J2" s="358"/>
    </row>
    <row r="3" spans="1:17" ht="21" thickBot="1" x14ac:dyDescent="0.3">
      <c r="A3" s="358"/>
      <c r="B3" s="358"/>
      <c r="C3" s="358"/>
      <c r="D3" s="358"/>
      <c r="E3" s="358"/>
      <c r="F3" s="358"/>
      <c r="G3" s="358"/>
    </row>
    <row r="4" spans="1:17" ht="36.75" customHeight="1" thickBot="1" x14ac:dyDescent="0.3">
      <c r="B4" s="359"/>
      <c r="C4" s="360" t="s">
        <v>91</v>
      </c>
      <c r="D4" s="361" t="s">
        <v>51</v>
      </c>
      <c r="E4" s="361" t="s">
        <v>52</v>
      </c>
      <c r="F4" s="362" t="s">
        <v>69</v>
      </c>
    </row>
    <row r="5" spans="1:17" ht="32.25" customHeight="1" x14ac:dyDescent="0.25">
      <c r="B5" s="363" t="s">
        <v>307</v>
      </c>
      <c r="C5" s="423">
        <f>SUM(D5:J5)</f>
        <v>1</v>
      </c>
      <c r="D5" s="432">
        <f>IF('Расчет участников НИР'!$J$1=Титул!$B$7,'Расчет участников НИР'!$K$3,'Расчет участников НИР'!$N$3)</f>
        <v>0.5</v>
      </c>
      <c r="E5" s="432">
        <f>IF('Расчет участников НИР'!$J$1=Титул!$B$7,'Расчет участников НИР'!$K$4,'Расчет участников НИР'!$N$4)</f>
        <v>0.3</v>
      </c>
      <c r="F5" s="702">
        <f>IF('Расчет участников НИР'!$J$1=Титул!$B$7,'Расчет участников НИР'!$K$5,'Расчет участников НИР'!$N$5)</f>
        <v>0.2</v>
      </c>
      <c r="G5" s="322" t="s">
        <v>232</v>
      </c>
      <c r="H5" s="322"/>
    </row>
    <row r="6" spans="1:17" ht="32.25" customHeight="1" x14ac:dyDescent="0.25">
      <c r="B6" s="364" t="s">
        <v>237</v>
      </c>
      <c r="C6" s="365">
        <f>SUM(D6:J6)</f>
        <v>0</v>
      </c>
      <c r="D6" s="365" t="str">
        <f>IFERROR('Расчет участников НИР'!$T$11,"0,00")</f>
        <v>0,00</v>
      </c>
      <c r="E6" s="365" t="str">
        <f>IFERROR('Расчет участников НИР'!$U$11,"0,00")</f>
        <v>0,00</v>
      </c>
      <c r="F6" s="429" t="str">
        <f>IFERROR('Расчет участников НИР'!$V$11,"0,00")</f>
        <v>0,00</v>
      </c>
      <c r="G6" s="322" t="s">
        <v>116</v>
      </c>
      <c r="H6" s="565" t="s">
        <v>233</v>
      </c>
    </row>
    <row r="7" spans="1:17" ht="32.25" customHeight="1" thickBot="1" x14ac:dyDescent="0.3">
      <c r="B7" s="369" t="s">
        <v>311</v>
      </c>
      <c r="C7" s="424">
        <f>IFERROR(ROUND(Распределение!$C$4*Расценка!$T$20,2),"0,00")</f>
        <v>0</v>
      </c>
      <c r="D7" s="430">
        <f>IFERROR(ROUND(Распределение!$D$4*Расценка!$T$20,2),"0,00")</f>
        <v>0</v>
      </c>
      <c r="E7" s="430">
        <f>IFERROR(ROUND(Распределение!$E$4*Расценка!$T$20,2),"0,00")</f>
        <v>0</v>
      </c>
      <c r="F7" s="431">
        <f>IFERROR(ROUND(Распределение!$F$4*Расценка!$T$20,2),"0,00")</f>
        <v>0</v>
      </c>
      <c r="G7" s="322" t="s">
        <v>116</v>
      </c>
      <c r="H7" s="566" t="s">
        <v>234</v>
      </c>
    </row>
    <row r="8" spans="1:17" ht="32.25" customHeight="1" x14ac:dyDescent="0.25">
      <c r="B8" s="363" t="s">
        <v>308</v>
      </c>
      <c r="C8" s="423">
        <f>SUM(D8:J8)</f>
        <v>0</v>
      </c>
      <c r="D8" s="433" t="str">
        <f>IFERROR('Расчет участников НИР'!C$4,"0,00")</f>
        <v>0,00</v>
      </c>
      <c r="E8" s="433" t="str">
        <f>IFERROR('Расчет участников НИР'!D$4,"0,00")</f>
        <v>0,00</v>
      </c>
      <c r="F8" s="434" t="str">
        <f>IFERROR('Расчет участников НИР'!E$4,"0,00")</f>
        <v>0,00</v>
      </c>
      <c r="G8" s="322" t="s">
        <v>116</v>
      </c>
      <c r="H8" s="567" t="s">
        <v>463</v>
      </c>
    </row>
    <row r="9" spans="1:17" ht="32.25" customHeight="1" x14ac:dyDescent="0.25">
      <c r="B9" s="364" t="s">
        <v>309</v>
      </c>
      <c r="C9" s="365">
        <f ca="1">SUM(D9:J9)</f>
        <v>0</v>
      </c>
      <c r="D9" s="366">
        <f ca="1">SUMIF($E$17:$G$117,$D$4,$G$17:$G$117)</f>
        <v>0</v>
      </c>
      <c r="E9" s="366">
        <f ca="1">SUMIF($E$17:$G$117,$E$4,$G$17:$G$117)</f>
        <v>0</v>
      </c>
      <c r="F9" s="367">
        <f ca="1">SUMIF($E$17:$G$117,$F$4,$G$17:$G$117)</f>
        <v>0</v>
      </c>
      <c r="G9" s="322" t="s">
        <v>209</v>
      </c>
      <c r="H9" s="588" t="s">
        <v>462</v>
      </c>
    </row>
    <row r="10" spans="1:17" ht="32.25" customHeight="1" thickBot="1" x14ac:dyDescent="0.3">
      <c r="B10" s="369" t="s">
        <v>310</v>
      </c>
      <c r="C10" s="424">
        <f ca="1">SUM(D10:J10)</f>
        <v>0</v>
      </c>
      <c r="D10" s="370">
        <f ca="1">SUMIF($E$17:$F$117,$D$4,$F$17:$F$117)</f>
        <v>0</v>
      </c>
      <c r="E10" s="370">
        <f ca="1">SUMIF($E$17:$F$117,$E$4,$F$17:$F$117)</f>
        <v>0</v>
      </c>
      <c r="F10" s="371">
        <f ca="1">SUMIF($E$17:$F$117,$F$4,$F$17:$F$117)</f>
        <v>0</v>
      </c>
    </row>
    <row r="11" spans="1:17" ht="32.25" customHeight="1" x14ac:dyDescent="0.25">
      <c r="B11" s="372" t="s">
        <v>312</v>
      </c>
      <c r="C11" s="373">
        <f ca="1">SUM(D11:J11)</f>
        <v>0</v>
      </c>
      <c r="D11" s="373">
        <f t="shared" ref="D11:E12" ca="1" si="0">D6-D9</f>
        <v>0</v>
      </c>
      <c r="E11" s="373">
        <f t="shared" ca="1" si="0"/>
        <v>0</v>
      </c>
      <c r="F11" s="426">
        <f ca="1">F6-F9</f>
        <v>0</v>
      </c>
      <c r="H11" s="374"/>
      <c r="I11" s="374"/>
      <c r="L11" s="374"/>
      <c r="M11" s="374"/>
    </row>
    <row r="12" spans="1:17" ht="32.25" customHeight="1" thickBot="1" x14ac:dyDescent="0.3">
      <c r="B12" s="375" t="s">
        <v>313</v>
      </c>
      <c r="C12" s="425">
        <f ca="1">SUM(D12:J12)</f>
        <v>0</v>
      </c>
      <c r="D12" s="427">
        <f t="shared" ca="1" si="0"/>
        <v>0</v>
      </c>
      <c r="E12" s="427">
        <f t="shared" ca="1" si="0"/>
        <v>0</v>
      </c>
      <c r="F12" s="428">
        <f ca="1">F7-F10</f>
        <v>0</v>
      </c>
      <c r="H12" s="374"/>
      <c r="I12" s="374"/>
      <c r="L12" s="374"/>
      <c r="M12" s="374"/>
    </row>
    <row r="13" spans="1:17" x14ac:dyDescent="0.25">
      <c r="K13" s="356"/>
    </row>
    <row r="14" spans="1:17" ht="53.25" customHeight="1" x14ac:dyDescent="0.25">
      <c r="A14" s="377" t="s">
        <v>464</v>
      </c>
      <c r="B14" s="377" t="str">
        <f>Работы!_ftnref1</f>
        <v>Виды работ 
(в соответствии с п.2 Технического задания)</v>
      </c>
      <c r="C14" s="377" t="str">
        <f>Работы!C8</f>
        <v>Индивидуальное плановое задание
(конкретизация видов работ)</v>
      </c>
      <c r="D14" s="377" t="s">
        <v>2</v>
      </c>
      <c r="E14" s="377" t="s">
        <v>117</v>
      </c>
      <c r="F14" s="377" t="s">
        <v>670</v>
      </c>
      <c r="G14" s="377" t="s">
        <v>116</v>
      </c>
      <c r="H14" s="377" t="s">
        <v>264</v>
      </c>
      <c r="I14" s="543" t="s">
        <v>7</v>
      </c>
      <c r="J14" s="378"/>
      <c r="K14" s="356"/>
      <c r="L14" s="379"/>
    </row>
    <row r="15" spans="1:17" s="384" customFormat="1" ht="16.5" customHeight="1" x14ac:dyDescent="0.25">
      <c r="A15" s="380" t="s">
        <v>136</v>
      </c>
      <c r="B15" s="381"/>
      <c r="C15" s="381"/>
      <c r="D15" s="382"/>
      <c r="E15" s="382"/>
      <c r="F15" s="377">
        <f>SUM(F17:F117)</f>
        <v>0</v>
      </c>
      <c r="G15" s="383">
        <f>SUM(G17:G117)</f>
        <v>0</v>
      </c>
      <c r="H15" s="383"/>
      <c r="K15" s="379"/>
      <c r="L15" s="379"/>
      <c r="M15" s="356"/>
      <c r="N15" s="356"/>
      <c r="O15" s="356"/>
      <c r="P15" s="356"/>
      <c r="Q15" s="356"/>
    </row>
    <row r="16" spans="1:17" x14ac:dyDescent="0.25">
      <c r="A16" s="385"/>
      <c r="B16" s="386"/>
      <c r="C16" s="386"/>
      <c r="D16" s="386"/>
      <c r="E16" s="386"/>
      <c r="F16" s="386"/>
      <c r="G16" s="386"/>
      <c r="H16" s="386"/>
      <c r="I16" s="544"/>
      <c r="J16" s="322" t="s">
        <v>232</v>
      </c>
      <c r="K16" s="356"/>
    </row>
    <row r="17" spans="1:16" x14ac:dyDescent="0.25">
      <c r="A17" s="387" t="s">
        <v>16</v>
      </c>
      <c r="B17" s="388"/>
      <c r="C17" s="388"/>
      <c r="D17" s="389">
        <f>'Состав ВТК'!$B9</f>
        <v>0</v>
      </c>
      <c r="E17" s="388" t="str">
        <f>IFERROR(VLOOKUP($D17,'Состав ВТК'!$B$9:$I$108,8,FALSE),"-")</f>
        <v>-</v>
      </c>
      <c r="F17" s="376">
        <f t="shared" ref="F17:F48" si="1">IFERROR(SUMIF($D$464:$D$714,$D17,$F$464:$F$714),"-")</f>
        <v>0</v>
      </c>
      <c r="G17" s="666" t="str">
        <f>IFERROR(ROUND(IF('Состав ВТК'!$K9="Безвозмездно",0,IF('Состав ВТК'!N9="0,00",F17/'Состав ВТК'!R9,F17/'Состав ВТК'!N9)),2),"-")</f>
        <v>-</v>
      </c>
      <c r="H17" s="390" t="str">
        <f>IFERROR(IF($I17=справочник!$C$5,0.5-'Состав ВТК'!G9-G17,1.5-'Состав ВТК'!G9-G17),"-")</f>
        <v>-</v>
      </c>
      <c r="I17" s="545">
        <f>'Состав ВТК'!J9</f>
        <v>0</v>
      </c>
      <c r="J17" s="805" t="s">
        <v>314</v>
      </c>
      <c r="K17" s="391" t="s">
        <v>273</v>
      </c>
      <c r="P17" s="563"/>
    </row>
    <row r="18" spans="1:16" x14ac:dyDescent="0.25">
      <c r="A18" s="387" t="s">
        <v>16</v>
      </c>
      <c r="B18" s="388"/>
      <c r="C18" s="388"/>
      <c r="D18" s="389">
        <f>'Состав ВТК'!$B10</f>
        <v>0</v>
      </c>
      <c r="E18" s="388" t="str">
        <f>IFERROR(VLOOKUP($D18,'Состав ВТК'!$B$9:$I$108,8,FALSE),"-")</f>
        <v>-</v>
      </c>
      <c r="F18" s="376">
        <f t="shared" si="1"/>
        <v>0</v>
      </c>
      <c r="G18" s="666" t="str">
        <f>IFERROR(ROUND(IF('Состав ВТК'!$K10="Безвозмездно",0,IF('Состав ВТК'!N10="0,00",F18/'Состав ВТК'!R10,F18/'Состав ВТК'!N10)),2),"-")</f>
        <v>-</v>
      </c>
      <c r="H18" s="390" t="str">
        <f>IFERROR(IF($I18=справочник!$C$5,0.5-'Состав ВТК'!G10-G18,1.5-'Состав ВТК'!G10-G18),"-")</f>
        <v>-</v>
      </c>
      <c r="I18" s="545">
        <f>'Состав ВТК'!J10</f>
        <v>0</v>
      </c>
      <c r="J18" s="805"/>
      <c r="K18" s="356" t="s">
        <v>271</v>
      </c>
      <c r="P18" s="563"/>
    </row>
    <row r="19" spans="1:16" x14ac:dyDescent="0.25">
      <c r="A19" s="387" t="s">
        <v>16</v>
      </c>
      <c r="B19" s="388"/>
      <c r="C19" s="388"/>
      <c r="D19" s="389">
        <f>'Состав ВТК'!$B11</f>
        <v>0</v>
      </c>
      <c r="E19" s="388" t="str">
        <f>IFERROR(VLOOKUP($D19,'Состав ВТК'!$B$9:$I$108,8,FALSE),"-")</f>
        <v>-</v>
      </c>
      <c r="F19" s="376">
        <f t="shared" si="1"/>
        <v>0</v>
      </c>
      <c r="G19" s="666" t="str">
        <f>IFERROR(ROUND(IF('Состав ВТК'!$K11="Безвозмездно",0,IF('Состав ВТК'!N11="0,00",F19/'Состав ВТК'!R11,F19/'Состав ВТК'!N11)),2),"-")</f>
        <v>-</v>
      </c>
      <c r="H19" s="390" t="str">
        <f>IFERROR(IF($I19=справочник!$C$5,0.5-'Состав ВТК'!G11-G19,1.5-'Состав ВТК'!G11-G19),"-")</f>
        <v>-</v>
      </c>
      <c r="I19" s="545">
        <f>'Состав ВТК'!J11</f>
        <v>0</v>
      </c>
      <c r="J19" s="805"/>
      <c r="K19" s="356" t="s">
        <v>270</v>
      </c>
      <c r="P19" s="563"/>
    </row>
    <row r="20" spans="1:16" x14ac:dyDescent="0.25">
      <c r="A20" s="387" t="s">
        <v>16</v>
      </c>
      <c r="B20" s="388"/>
      <c r="C20" s="388"/>
      <c r="D20" s="389">
        <f>'Состав ВТК'!$B12</f>
        <v>0</v>
      </c>
      <c r="E20" s="388" t="str">
        <f>IFERROR(VLOOKUP($D20,'Состав ВТК'!$B$9:$I$108,8,FALSE),"-")</f>
        <v>-</v>
      </c>
      <c r="F20" s="376">
        <f t="shared" si="1"/>
        <v>0</v>
      </c>
      <c r="G20" s="666" t="str">
        <f>IFERROR(ROUND(IF('Состав ВТК'!$K12="Безвозмездно",0,IF('Состав ВТК'!N12="0,00",F20/'Состав ВТК'!R12,F20/'Состав ВТК'!N12)),2),"-")</f>
        <v>-</v>
      </c>
      <c r="H20" s="390" t="str">
        <f>IFERROR(IF($I20=справочник!$C$5,0.5-'Состав ВТК'!G12-G20,1.5-'Состав ВТК'!G12-G20),"-")</f>
        <v>-</v>
      </c>
      <c r="I20" s="545">
        <f>'Состав ВТК'!J12</f>
        <v>0</v>
      </c>
      <c r="J20" s="805"/>
      <c r="K20" s="356" t="s">
        <v>272</v>
      </c>
      <c r="P20" s="563"/>
    </row>
    <row r="21" spans="1:16" x14ac:dyDescent="0.25">
      <c r="A21" s="387" t="s">
        <v>16</v>
      </c>
      <c r="B21" s="388"/>
      <c r="C21" s="388"/>
      <c r="D21" s="389">
        <f>'Состав ВТК'!$B13</f>
        <v>0</v>
      </c>
      <c r="E21" s="388" t="str">
        <f>IFERROR(VLOOKUP($D21,'Состав ВТК'!$B$9:$I$108,8,FALSE),"-")</f>
        <v>-</v>
      </c>
      <c r="F21" s="376">
        <f t="shared" si="1"/>
        <v>0</v>
      </c>
      <c r="G21" s="666" t="str">
        <f>IFERROR(ROUND(IF('Состав ВТК'!$K13="Безвозмездно",0,IF('Состав ВТК'!N13="0,00",F21/'Состав ВТК'!R13,F21/'Состав ВТК'!N13)),2),"-")</f>
        <v>-</v>
      </c>
      <c r="H21" s="390" t="str">
        <f>IFERROR(IF($I21=справочник!$C$5,0.5-'Состав ВТК'!G13-G21,1.5-'Состав ВТК'!G13-G21),"-")</f>
        <v>-</v>
      </c>
      <c r="I21" s="545">
        <f>'Состав ВТК'!J13</f>
        <v>0</v>
      </c>
      <c r="K21" s="356"/>
      <c r="P21" s="563"/>
    </row>
    <row r="22" spans="1:16" x14ac:dyDescent="0.25">
      <c r="A22" s="387" t="s">
        <v>16</v>
      </c>
      <c r="B22" s="388"/>
      <c r="C22" s="388"/>
      <c r="D22" s="389">
        <f>'Состав ВТК'!$B14</f>
        <v>0</v>
      </c>
      <c r="E22" s="388" t="str">
        <f>IFERROR(VLOOKUP($D22,'Состав ВТК'!$B$9:$I$108,8,FALSE),"-")</f>
        <v>-</v>
      </c>
      <c r="F22" s="376">
        <f t="shared" si="1"/>
        <v>0</v>
      </c>
      <c r="G22" s="666" t="str">
        <f>IFERROR(ROUND(IF('Состав ВТК'!$K14="Безвозмездно",0,IF('Состав ВТК'!N14="0,00",F22/'Состав ВТК'!R14,F22/'Состав ВТК'!N14)),2),"-")</f>
        <v>-</v>
      </c>
      <c r="H22" s="390" t="str">
        <f>IFERROR(IF($I22=справочник!$C$5,0.5-'Состав ВТК'!G14-G22,1.5-'Состав ВТК'!G14-G22),"-")</f>
        <v>-</v>
      </c>
      <c r="I22" s="545">
        <f>'Состав ВТК'!J14</f>
        <v>0</v>
      </c>
      <c r="K22" s="356"/>
      <c r="P22" s="563"/>
    </row>
    <row r="23" spans="1:16" x14ac:dyDescent="0.25">
      <c r="A23" s="387" t="s">
        <v>16</v>
      </c>
      <c r="B23" s="388"/>
      <c r="C23" s="388"/>
      <c r="D23" s="389">
        <f>'Состав ВТК'!$B15</f>
        <v>0</v>
      </c>
      <c r="E23" s="388" t="str">
        <f>IFERROR(VLOOKUP($D23,'Состав ВТК'!$B$9:$I$108,8,FALSE),"-")</f>
        <v>-</v>
      </c>
      <c r="F23" s="376">
        <f t="shared" si="1"/>
        <v>0</v>
      </c>
      <c r="G23" s="666" t="str">
        <f>IFERROR(ROUND(IF('Состав ВТК'!$K15="Безвозмездно",0,IF('Состав ВТК'!N15="0,00",F23/'Состав ВТК'!R15,F23/'Состав ВТК'!N15)),2),"-")</f>
        <v>-</v>
      </c>
      <c r="H23" s="390" t="str">
        <f>IFERROR(IF($I23=справочник!$C$5,0.5-'Состав ВТК'!G15-G23,1.5-'Состав ВТК'!G15-G23),"-")</f>
        <v>-</v>
      </c>
      <c r="I23" s="545">
        <f>'Состав ВТК'!J15</f>
        <v>0</v>
      </c>
      <c r="K23" s="356"/>
      <c r="P23" s="563"/>
    </row>
    <row r="24" spans="1:16" x14ac:dyDescent="0.25">
      <c r="A24" s="387" t="s">
        <v>16</v>
      </c>
      <c r="B24" s="388"/>
      <c r="C24" s="388"/>
      <c r="D24" s="389">
        <f>'Состав ВТК'!$B16</f>
        <v>0</v>
      </c>
      <c r="E24" s="388" t="str">
        <f>IFERROR(VLOOKUP($D24,'Состав ВТК'!$B$9:$I$108,8,FALSE),"-")</f>
        <v>-</v>
      </c>
      <c r="F24" s="376">
        <f t="shared" si="1"/>
        <v>0</v>
      </c>
      <c r="G24" s="666" t="str">
        <f>IFERROR(ROUND(IF('Состав ВТК'!$K16="Безвозмездно",0,IF('Состав ВТК'!N16="0,00",F24/'Состав ВТК'!R16,F24/'Состав ВТК'!N16)),2),"-")</f>
        <v>-</v>
      </c>
      <c r="H24" s="390" t="str">
        <f>IFERROR(IF($I24=справочник!$C$5,0.5-'Состав ВТК'!G16-G24,1.5-'Состав ВТК'!G16-G24),"-")</f>
        <v>-</v>
      </c>
      <c r="I24" s="545">
        <f>'Состав ВТК'!J16</f>
        <v>0</v>
      </c>
      <c r="P24" s="563"/>
    </row>
    <row r="25" spans="1:16" x14ac:dyDescent="0.25">
      <c r="A25" s="387" t="s">
        <v>16</v>
      </c>
      <c r="B25" s="388"/>
      <c r="C25" s="388"/>
      <c r="D25" s="389">
        <f>'Состав ВТК'!$B17</f>
        <v>0</v>
      </c>
      <c r="E25" s="388" t="str">
        <f>IFERROR(VLOOKUP($D25,'Состав ВТК'!$B$9:$I$108,8,FALSE),"-")</f>
        <v>-</v>
      </c>
      <c r="F25" s="376">
        <f t="shared" si="1"/>
        <v>0</v>
      </c>
      <c r="G25" s="666" t="str">
        <f>IFERROR(ROUND(IF('Состав ВТК'!$K17="Безвозмездно",0,IF('Состав ВТК'!N17="0,00",F25/'Состав ВТК'!R17,F25/'Состав ВТК'!N17)),2),"-")</f>
        <v>-</v>
      </c>
      <c r="H25" s="390" t="str">
        <f>IFERROR(IF($I25=справочник!$C$5,0.5-'Состав ВТК'!G17-G25,1.5-'Состав ВТК'!G17-G25),"-")</f>
        <v>-</v>
      </c>
      <c r="I25" s="545">
        <f>'Состав ВТК'!J17</f>
        <v>0</v>
      </c>
      <c r="K25" s="356"/>
      <c r="P25" s="563"/>
    </row>
    <row r="26" spans="1:16" x14ac:dyDescent="0.25">
      <c r="A26" s="387" t="s">
        <v>16</v>
      </c>
      <c r="B26" s="388"/>
      <c r="C26" s="388"/>
      <c r="D26" s="389">
        <f>'Состав ВТК'!$B18</f>
        <v>0</v>
      </c>
      <c r="E26" s="388" t="str">
        <f>IFERROR(VLOOKUP($D26,'Состав ВТК'!$B$9:$I$108,8,FALSE),"-")</f>
        <v>-</v>
      </c>
      <c r="F26" s="376">
        <f t="shared" si="1"/>
        <v>0</v>
      </c>
      <c r="G26" s="666" t="str">
        <f>IFERROR(ROUND(IF('Состав ВТК'!$K18="Безвозмездно",0,IF('Состав ВТК'!N18="0,00",F26/'Состав ВТК'!R18,F26/'Состав ВТК'!N18)),2),"-")</f>
        <v>-</v>
      </c>
      <c r="H26" s="390" t="str">
        <f>IFERROR(IF($I26=справочник!$C$5,0.5-'Состав ВТК'!G18-G26,1.5-'Состав ВТК'!G18-G26),"-")</f>
        <v>-</v>
      </c>
      <c r="I26" s="545">
        <f>'Состав ВТК'!J18</f>
        <v>0</v>
      </c>
      <c r="K26" s="356"/>
      <c r="P26" s="563"/>
    </row>
    <row r="27" spans="1:16" x14ac:dyDescent="0.25">
      <c r="A27" s="387" t="s">
        <v>16</v>
      </c>
      <c r="B27" s="388"/>
      <c r="C27" s="388"/>
      <c r="D27" s="389">
        <f>'Состав ВТК'!$B19</f>
        <v>0</v>
      </c>
      <c r="E27" s="388" t="str">
        <f>IFERROR(VLOOKUP($D27,'Состав ВТК'!$B$9:$I$108,8,FALSE),"-")</f>
        <v>-</v>
      </c>
      <c r="F27" s="376">
        <f t="shared" si="1"/>
        <v>0</v>
      </c>
      <c r="G27" s="666" t="str">
        <f>IFERROR(ROUND(IF('Состав ВТК'!$K19="Безвозмездно",0,IF('Состав ВТК'!N19="0,00",F27/'Состав ВТК'!R19,F27/'Состав ВТК'!N19)),2),"-")</f>
        <v>-</v>
      </c>
      <c r="H27" s="390" t="str">
        <f>IFERROR(IF($I27=справочник!$C$5,0.5-'Состав ВТК'!G19-G27,1.5-'Состав ВТК'!G19-G27),"-")</f>
        <v>-</v>
      </c>
      <c r="I27" s="545">
        <f>'Состав ВТК'!J19</f>
        <v>0</v>
      </c>
      <c r="K27" s="356"/>
    </row>
    <row r="28" spans="1:16" x14ac:dyDescent="0.25">
      <c r="A28" s="387" t="s">
        <v>16</v>
      </c>
      <c r="B28" s="388"/>
      <c r="C28" s="388"/>
      <c r="D28" s="389">
        <f>'Состав ВТК'!$B20</f>
        <v>0</v>
      </c>
      <c r="E28" s="388" t="str">
        <f>IFERROR(VLOOKUP($D28,'Состав ВТК'!$B$9:$I$108,8,FALSE),"-")</f>
        <v>-</v>
      </c>
      <c r="F28" s="376">
        <f t="shared" si="1"/>
        <v>0</v>
      </c>
      <c r="G28" s="666" t="str">
        <f>IFERROR(ROUND(IF('Состав ВТК'!$K20="Безвозмездно",0,IF('Состав ВТК'!N20="0,00",F28/'Состав ВТК'!R20,F28/'Состав ВТК'!N20)),2),"-")</f>
        <v>-</v>
      </c>
      <c r="H28" s="390" t="str">
        <f>IFERROR(IF($I28=справочник!$C$5,0.5-'Состав ВТК'!G20-G28,1.5-'Состав ВТК'!G20-G28),"-")</f>
        <v>-</v>
      </c>
      <c r="I28" s="545">
        <f>'Состав ВТК'!J20</f>
        <v>0</v>
      </c>
      <c r="K28" s="356"/>
    </row>
    <row r="29" spans="1:16" x14ac:dyDescent="0.25">
      <c r="A29" s="387" t="s">
        <v>16</v>
      </c>
      <c r="B29" s="388"/>
      <c r="C29" s="388"/>
      <c r="D29" s="389">
        <f>'Состав ВТК'!$B21</f>
        <v>0</v>
      </c>
      <c r="E29" s="388" t="str">
        <f>IFERROR(VLOOKUP($D29,'Состав ВТК'!$B$9:$I$108,8,FALSE),"-")</f>
        <v>-</v>
      </c>
      <c r="F29" s="376">
        <f t="shared" si="1"/>
        <v>0</v>
      </c>
      <c r="G29" s="666" t="str">
        <f>IFERROR(ROUND(IF('Состав ВТК'!$K21="Безвозмездно",0,IF('Состав ВТК'!N21="0,00",F29/'Состав ВТК'!R21,F29/'Состав ВТК'!N21)),2),"-")</f>
        <v>-</v>
      </c>
      <c r="H29" s="390" t="str">
        <f>IFERROR(IF($I29=справочник!$C$5,0.5-'Состав ВТК'!G21-G29,1.5-'Состав ВТК'!G21-G29),"-")</f>
        <v>-</v>
      </c>
      <c r="I29" s="545">
        <f>'Состав ВТК'!J21</f>
        <v>0</v>
      </c>
      <c r="K29" s="356"/>
    </row>
    <row r="30" spans="1:16" x14ac:dyDescent="0.25">
      <c r="A30" s="387" t="s">
        <v>16</v>
      </c>
      <c r="B30" s="388"/>
      <c r="C30" s="388"/>
      <c r="D30" s="389">
        <f>'Состав ВТК'!$B22</f>
        <v>0</v>
      </c>
      <c r="E30" s="388" t="str">
        <f>IFERROR(VLOOKUP($D30,'Состав ВТК'!$B$9:$I$108,8,FALSE),"-")</f>
        <v>-</v>
      </c>
      <c r="F30" s="376">
        <f t="shared" si="1"/>
        <v>0</v>
      </c>
      <c r="G30" s="666" t="str">
        <f>IFERROR(ROUND(IF('Состав ВТК'!$K22="Безвозмездно",0,IF('Состав ВТК'!N22="0,00",F30/'Состав ВТК'!R22,F30/'Состав ВТК'!N22)),2),"-")</f>
        <v>-</v>
      </c>
      <c r="H30" s="390" t="str">
        <f>IFERROR(IF($I30=справочник!$C$5,0.5-'Состав ВТК'!G22-G30,1.5-'Состав ВТК'!G22-G30),"-")</f>
        <v>-</v>
      </c>
      <c r="I30" s="545">
        <f>'Состав ВТК'!J22</f>
        <v>0</v>
      </c>
      <c r="K30" s="356"/>
    </row>
    <row r="31" spans="1:16" x14ac:dyDescent="0.25">
      <c r="A31" s="387" t="s">
        <v>16</v>
      </c>
      <c r="B31" s="388"/>
      <c r="C31" s="388"/>
      <c r="D31" s="389">
        <f>'Состав ВТК'!$B23</f>
        <v>0</v>
      </c>
      <c r="E31" s="388" t="str">
        <f>IFERROR(VLOOKUP($D31,'Состав ВТК'!$B$9:$I$108,8,FALSE),"-")</f>
        <v>-</v>
      </c>
      <c r="F31" s="376">
        <f t="shared" si="1"/>
        <v>0</v>
      </c>
      <c r="G31" s="666" t="str">
        <f>IFERROR(ROUND(IF('Состав ВТК'!$K23="Безвозмездно",0,IF('Состав ВТК'!N23="0,00",F31/'Состав ВТК'!R23,F31/'Состав ВТК'!N23)),2),"-")</f>
        <v>-</v>
      </c>
      <c r="H31" s="390" t="str">
        <f>IFERROR(IF($I31=справочник!$C$5,0.5-'Состав ВТК'!G23-G31,1.5-'Состав ВТК'!G23-G31),"-")</f>
        <v>-</v>
      </c>
      <c r="I31" s="545"/>
      <c r="K31" s="356"/>
    </row>
    <row r="32" spans="1:16" x14ac:dyDescent="0.25">
      <c r="A32" s="387" t="s">
        <v>16</v>
      </c>
      <c r="B32" s="388"/>
      <c r="C32" s="388"/>
      <c r="D32" s="389">
        <f>'Состав ВТК'!$B24</f>
        <v>0</v>
      </c>
      <c r="E32" s="388" t="str">
        <f>IFERROR(VLOOKUP($D32,'Состав ВТК'!$B$9:$I$108,8,FALSE),"-")</f>
        <v>-</v>
      </c>
      <c r="F32" s="376">
        <f t="shared" si="1"/>
        <v>0</v>
      </c>
      <c r="G32" s="666" t="str">
        <f>IFERROR(ROUND(IF('Состав ВТК'!$K24="Безвозмездно",0,IF('Состав ВТК'!N24="0,00",F32/'Состав ВТК'!R24,F32/'Состав ВТК'!N24)),2),"-")</f>
        <v>-</v>
      </c>
      <c r="H32" s="390" t="str">
        <f>IFERROR(IF($I32=справочник!$C$5,0.5-'Состав ВТК'!G24-G32,1.5-'Состав ВТК'!G24-G32),"-")</f>
        <v>-</v>
      </c>
      <c r="I32" s="545"/>
      <c r="K32" s="356"/>
    </row>
    <row r="33" spans="1:11" hidden="1" x14ac:dyDescent="0.25">
      <c r="A33" s="387" t="s">
        <v>16</v>
      </c>
      <c r="B33" s="388"/>
      <c r="C33" s="388"/>
      <c r="D33" s="389">
        <f>'Состав ВТК'!$B25</f>
        <v>0</v>
      </c>
      <c r="E33" s="388" t="str">
        <f>IFERROR(VLOOKUP($D33,'Состав ВТК'!$B$9:$I$108,8,FALSE),"-")</f>
        <v>-</v>
      </c>
      <c r="F33" s="376">
        <f t="shared" si="1"/>
        <v>0</v>
      </c>
      <c r="G33" s="666" t="str">
        <f>IFERROR(ROUND(IF('Состав ВТК'!$K25="Безвозмездно",0,IF('Состав ВТК'!N25="0,00",F33/'Состав ВТК'!R25,F33/'Состав ВТК'!N25)),2),"-")</f>
        <v>-</v>
      </c>
      <c r="H33" s="390" t="str">
        <f>IFERROR(IF($I33=справочник!$C$5,0.5-'Состав ВТК'!G25-G33,1.5-'Состав ВТК'!G25-G33),"-")</f>
        <v>-</v>
      </c>
      <c r="I33" s="545"/>
      <c r="K33" s="356"/>
    </row>
    <row r="34" spans="1:11" hidden="1" x14ac:dyDescent="0.25">
      <c r="A34" s="387" t="s">
        <v>16</v>
      </c>
      <c r="B34" s="388"/>
      <c r="C34" s="388"/>
      <c r="D34" s="389">
        <f>'Состав ВТК'!$B26</f>
        <v>0</v>
      </c>
      <c r="E34" s="388" t="str">
        <f>IFERROR(VLOOKUP($D34,'Состав ВТК'!$B$9:$I$108,8,FALSE),"-")</f>
        <v>-</v>
      </c>
      <c r="F34" s="376">
        <f t="shared" si="1"/>
        <v>0</v>
      </c>
      <c r="G34" s="666" t="str">
        <f>IFERROR(ROUND(IF('Состав ВТК'!$K26="Безвозмездно",0,IF('Состав ВТК'!N26="0,00",F34/'Состав ВТК'!R26,F34/'Состав ВТК'!N26)),2),"-")</f>
        <v>-</v>
      </c>
      <c r="H34" s="390" t="str">
        <f>IFERROR(IF($I34=справочник!$C$5,0.5-'Состав ВТК'!G26-G34,1.5-'Состав ВТК'!G26-G34),"-")</f>
        <v>-</v>
      </c>
      <c r="I34" s="545"/>
      <c r="K34" s="356"/>
    </row>
    <row r="35" spans="1:11" hidden="1" x14ac:dyDescent="0.25">
      <c r="A35" s="387" t="s">
        <v>16</v>
      </c>
      <c r="B35" s="388"/>
      <c r="C35" s="388"/>
      <c r="D35" s="389">
        <f>'Состав ВТК'!$B27</f>
        <v>0</v>
      </c>
      <c r="E35" s="388" t="str">
        <f>IFERROR(VLOOKUP($D35,'Состав ВТК'!$B$9:$I$108,8,FALSE),"-")</f>
        <v>-</v>
      </c>
      <c r="F35" s="376">
        <f t="shared" si="1"/>
        <v>0</v>
      </c>
      <c r="G35" s="666" t="str">
        <f>IFERROR(ROUND(IF('Состав ВТК'!$K27="Безвозмездно",0,IF('Состав ВТК'!N27="0,00",F35/'Состав ВТК'!R27,F35/'Состав ВТК'!N27)),2),"-")</f>
        <v>-</v>
      </c>
      <c r="H35" s="390" t="str">
        <f>IFERROR(IF($I35=справочник!$C$5,0.5-'Состав ВТК'!G27-G35,1.5-'Состав ВТК'!G27-G35),"-")</f>
        <v>-</v>
      </c>
      <c r="I35" s="545"/>
      <c r="K35" s="356"/>
    </row>
    <row r="36" spans="1:11" hidden="1" x14ac:dyDescent="0.25">
      <c r="A36" s="387" t="s">
        <v>16</v>
      </c>
      <c r="B36" s="388"/>
      <c r="C36" s="388"/>
      <c r="D36" s="389">
        <f>'Состав ВТК'!$B28</f>
        <v>0</v>
      </c>
      <c r="E36" s="388" t="str">
        <f>IFERROR(VLOOKUP($D36,'Состав ВТК'!$B$9:$I$108,8,FALSE),"-")</f>
        <v>-</v>
      </c>
      <c r="F36" s="376">
        <f t="shared" si="1"/>
        <v>0</v>
      </c>
      <c r="G36" s="666" t="str">
        <f>IFERROR(ROUND(IF('Состав ВТК'!$K28="Безвозмездно",0,IF('Состав ВТК'!N28="0,00",F36/'Состав ВТК'!R28,F36/'Состав ВТК'!N28)),2),"-")</f>
        <v>-</v>
      </c>
      <c r="H36" s="390" t="str">
        <f>IFERROR(IF($I36=справочник!$C$5,0.5-'Состав ВТК'!G28-G36,1.5-'Состав ВТК'!G28-G36),"-")</f>
        <v>-</v>
      </c>
      <c r="I36" s="545"/>
      <c r="K36" s="356"/>
    </row>
    <row r="37" spans="1:11" hidden="1" x14ac:dyDescent="0.25">
      <c r="A37" s="387" t="s">
        <v>16</v>
      </c>
      <c r="B37" s="388"/>
      <c r="C37" s="388"/>
      <c r="D37" s="389">
        <f>'Состав ВТК'!$B29</f>
        <v>0</v>
      </c>
      <c r="E37" s="388" t="str">
        <f>IFERROR(VLOOKUP($D37,'Состав ВТК'!$B$9:$I$108,8,FALSE),"-")</f>
        <v>-</v>
      </c>
      <c r="F37" s="376">
        <f t="shared" si="1"/>
        <v>0</v>
      </c>
      <c r="G37" s="666" t="str">
        <f>IFERROR(ROUND(IF('Состав ВТК'!$K29="Безвозмездно",0,IF('Состав ВТК'!N29="0,00",F37/'Состав ВТК'!R29,F37/'Состав ВТК'!N29)),2),"-")</f>
        <v>-</v>
      </c>
      <c r="H37" s="390" t="str">
        <f>IFERROR(IF($I37=справочник!$C$5,0.5-'Состав ВТК'!G29-G37,1.5-'Состав ВТК'!G29-G37),"-")</f>
        <v>-</v>
      </c>
      <c r="I37" s="545"/>
      <c r="K37" s="356"/>
    </row>
    <row r="38" spans="1:11" hidden="1" x14ac:dyDescent="0.25">
      <c r="A38" s="387" t="s">
        <v>16</v>
      </c>
      <c r="B38" s="388"/>
      <c r="C38" s="388"/>
      <c r="D38" s="389">
        <f>'Состав ВТК'!$B30</f>
        <v>0</v>
      </c>
      <c r="E38" s="388" t="str">
        <f>IFERROR(VLOOKUP($D38,'Состав ВТК'!$B$9:$I$108,8,FALSE),"-")</f>
        <v>-</v>
      </c>
      <c r="F38" s="376">
        <f t="shared" si="1"/>
        <v>0</v>
      </c>
      <c r="G38" s="666" t="str">
        <f>IFERROR(ROUND(IF('Состав ВТК'!$K30="Безвозмездно",0,IF('Состав ВТК'!N30="0,00",F38/'Состав ВТК'!R30,F38/'Состав ВТК'!N30)),2),"-")</f>
        <v>-</v>
      </c>
      <c r="H38" s="390" t="str">
        <f>IFERROR(IF($I38=справочник!$C$5,0.5-'Состав ВТК'!G30-G38,1.5-'Состав ВТК'!G30-G38),"-")</f>
        <v>-</v>
      </c>
      <c r="I38" s="545"/>
      <c r="K38" s="356"/>
    </row>
    <row r="39" spans="1:11" hidden="1" x14ac:dyDescent="0.25">
      <c r="A39" s="387" t="s">
        <v>16</v>
      </c>
      <c r="B39" s="388"/>
      <c r="C39" s="388"/>
      <c r="D39" s="389">
        <f>'Состав ВТК'!$B31</f>
        <v>0</v>
      </c>
      <c r="E39" s="388" t="str">
        <f>IFERROR(VLOOKUP($D39,'Состав ВТК'!$B$9:$I$108,8,FALSE),"-")</f>
        <v>-</v>
      </c>
      <c r="F39" s="376">
        <f t="shared" si="1"/>
        <v>0</v>
      </c>
      <c r="G39" s="666" t="str">
        <f>IFERROR(ROUND(IF('Состав ВТК'!$K31="Безвозмездно",0,IF('Состав ВТК'!N31="0,00",F39/'Состав ВТК'!R31,F39/'Состав ВТК'!N31)),2),"-")</f>
        <v>-</v>
      </c>
      <c r="H39" s="390" t="str">
        <f>IFERROR(IF($I39=справочник!$C$5,0.5-'Состав ВТК'!G31-G39,1.5-'Состав ВТК'!G31-G39),"-")</f>
        <v>-</v>
      </c>
      <c r="I39" s="545"/>
      <c r="K39" s="356"/>
    </row>
    <row r="40" spans="1:11" hidden="1" x14ac:dyDescent="0.25">
      <c r="A40" s="387" t="s">
        <v>16</v>
      </c>
      <c r="B40" s="388"/>
      <c r="C40" s="388"/>
      <c r="D40" s="389">
        <f>'Состав ВТК'!$B32</f>
        <v>0</v>
      </c>
      <c r="E40" s="388" t="str">
        <f>IFERROR(VLOOKUP($D40,'Состав ВТК'!$B$9:$I$108,8,FALSE),"-")</f>
        <v>-</v>
      </c>
      <c r="F40" s="376">
        <f t="shared" si="1"/>
        <v>0</v>
      </c>
      <c r="G40" s="666" t="str">
        <f>IFERROR(ROUND(IF('Состав ВТК'!$K32="Безвозмездно",0,IF('Состав ВТК'!N32="0,00",F40/'Состав ВТК'!R32,F40/'Состав ВТК'!N32)),2),"-")</f>
        <v>-</v>
      </c>
      <c r="H40" s="390" t="str">
        <f>IFERROR(IF($I40=справочник!$C$5,0.5-'Состав ВТК'!G32-G40,1.5-'Состав ВТК'!G32-G40),"-")</f>
        <v>-</v>
      </c>
      <c r="I40" s="545"/>
      <c r="K40" s="356"/>
    </row>
    <row r="41" spans="1:11" hidden="1" x14ac:dyDescent="0.25">
      <c r="A41" s="387" t="s">
        <v>16</v>
      </c>
      <c r="B41" s="388"/>
      <c r="C41" s="388"/>
      <c r="D41" s="389">
        <f>'Состав ВТК'!$B33</f>
        <v>0</v>
      </c>
      <c r="E41" s="388" t="str">
        <f>IFERROR(VLOOKUP($D41,'Состав ВТК'!$B$9:$I$108,8,FALSE),"-")</f>
        <v>-</v>
      </c>
      <c r="F41" s="376">
        <f t="shared" si="1"/>
        <v>0</v>
      </c>
      <c r="G41" s="666" t="str">
        <f>IFERROR(ROUND(IF('Состав ВТК'!$K33="Безвозмездно",0,IF('Состав ВТК'!N33="0,00",F41/'Состав ВТК'!R33,F41/'Состав ВТК'!N33)),2),"-")</f>
        <v>-</v>
      </c>
      <c r="H41" s="390" t="str">
        <f>IFERROR(IF($I41=справочник!$C$5,0.5-'Состав ВТК'!G33-G41,1.5-'Состав ВТК'!G33-G41),"-")</f>
        <v>-</v>
      </c>
      <c r="I41" s="545"/>
      <c r="K41" s="356"/>
    </row>
    <row r="42" spans="1:11" hidden="1" x14ac:dyDescent="0.25">
      <c r="A42" s="387" t="s">
        <v>16</v>
      </c>
      <c r="B42" s="388"/>
      <c r="C42" s="388"/>
      <c r="D42" s="389">
        <f>'Состав ВТК'!$B34</f>
        <v>0</v>
      </c>
      <c r="E42" s="388" t="str">
        <f>IFERROR(VLOOKUP($D42,'Состав ВТК'!$B$9:$I$108,8,FALSE),"-")</f>
        <v>-</v>
      </c>
      <c r="F42" s="376">
        <f t="shared" si="1"/>
        <v>0</v>
      </c>
      <c r="G42" s="666" t="str">
        <f>IFERROR(ROUND(IF('Состав ВТК'!$K34="Безвозмездно",0,IF('Состав ВТК'!N34="0,00",F42/'Состав ВТК'!R34,F42/'Состав ВТК'!N34)),2),"-")</f>
        <v>-</v>
      </c>
      <c r="H42" s="390" t="str">
        <f>IFERROR(IF($I42=справочник!$C$5,0.5-'Состав ВТК'!G34-G42,1.5-'Состав ВТК'!G34-G42),"-")</f>
        <v>-</v>
      </c>
      <c r="I42" s="545"/>
      <c r="K42" s="356"/>
    </row>
    <row r="43" spans="1:11" hidden="1" x14ac:dyDescent="0.25">
      <c r="A43" s="387" t="s">
        <v>16</v>
      </c>
      <c r="B43" s="388"/>
      <c r="C43" s="388"/>
      <c r="D43" s="389">
        <f>'Состав ВТК'!$B35</f>
        <v>0</v>
      </c>
      <c r="E43" s="388" t="str">
        <f>IFERROR(VLOOKUP($D43,'Состав ВТК'!$B$9:$I$108,8,FALSE),"-")</f>
        <v>-</v>
      </c>
      <c r="F43" s="376">
        <f t="shared" si="1"/>
        <v>0</v>
      </c>
      <c r="G43" s="666" t="str">
        <f>IFERROR(ROUND(IF('Состав ВТК'!$K35="Безвозмездно",0,IF('Состав ВТК'!N35="0,00",F43/'Состав ВТК'!R35,F43/'Состав ВТК'!N35)),2),"-")</f>
        <v>-</v>
      </c>
      <c r="H43" s="390" t="str">
        <f>IFERROR(IF($I43=справочник!$C$5,0.5-'Состав ВТК'!G35-G43,1.5-'Состав ВТК'!G35-G43),"-")</f>
        <v>-</v>
      </c>
      <c r="I43" s="545"/>
      <c r="K43" s="356"/>
    </row>
    <row r="44" spans="1:11" hidden="1" x14ac:dyDescent="0.25">
      <c r="A44" s="387" t="s">
        <v>16</v>
      </c>
      <c r="B44" s="388"/>
      <c r="C44" s="388"/>
      <c r="D44" s="389">
        <f>'Состав ВТК'!$B36</f>
        <v>0</v>
      </c>
      <c r="E44" s="388" t="str">
        <f>IFERROR(VLOOKUP($D44,'Состав ВТК'!$B$9:$I$108,8,FALSE),"-")</f>
        <v>-</v>
      </c>
      <c r="F44" s="376">
        <f t="shared" si="1"/>
        <v>0</v>
      </c>
      <c r="G44" s="666" t="str">
        <f>IFERROR(ROUND(IF('Состав ВТК'!$K36="Безвозмездно",0,IF('Состав ВТК'!N36="0,00",F44/'Состав ВТК'!R36,F44/'Состав ВТК'!N36)),2),"-")</f>
        <v>-</v>
      </c>
      <c r="H44" s="390" t="str">
        <f>IFERROR(IF($I44=справочник!$C$5,0.5-'Состав ВТК'!G36-G44,1.5-'Состав ВТК'!G36-G44),"-")</f>
        <v>-</v>
      </c>
      <c r="I44" s="545"/>
      <c r="K44" s="356"/>
    </row>
    <row r="45" spans="1:11" hidden="1" x14ac:dyDescent="0.25">
      <c r="A45" s="387" t="s">
        <v>16</v>
      </c>
      <c r="B45" s="388"/>
      <c r="C45" s="388"/>
      <c r="D45" s="389">
        <f>'Состав ВТК'!$B37</f>
        <v>0</v>
      </c>
      <c r="E45" s="388" t="str">
        <f>IFERROR(VLOOKUP($D45,'Состав ВТК'!$B$9:$I$108,8,FALSE),"-")</f>
        <v>-</v>
      </c>
      <c r="F45" s="376">
        <f t="shared" si="1"/>
        <v>0</v>
      </c>
      <c r="G45" s="666" t="str">
        <f>IFERROR(ROUND(IF('Состав ВТК'!$K37="Безвозмездно",0,IF('Состав ВТК'!N37="0,00",F45/'Состав ВТК'!R37,F45/'Состав ВТК'!N37)),2),"-")</f>
        <v>-</v>
      </c>
      <c r="H45" s="390" t="str">
        <f>IFERROR(IF($I45=справочник!$C$5,0.5-'Состав ВТК'!G37-G45,1.5-'Состав ВТК'!G37-G45),"-")</f>
        <v>-</v>
      </c>
      <c r="I45" s="545"/>
      <c r="K45" s="356"/>
    </row>
    <row r="46" spans="1:11" hidden="1" x14ac:dyDescent="0.25">
      <c r="A46" s="387" t="s">
        <v>16</v>
      </c>
      <c r="B46" s="388"/>
      <c r="C46" s="388"/>
      <c r="D46" s="389">
        <f>'Состав ВТК'!$B38</f>
        <v>0</v>
      </c>
      <c r="E46" s="388" t="str">
        <f>IFERROR(VLOOKUP($D46,'Состав ВТК'!$B$9:$I$108,8,FALSE),"-")</f>
        <v>-</v>
      </c>
      <c r="F46" s="376">
        <f t="shared" si="1"/>
        <v>0</v>
      </c>
      <c r="G46" s="666" t="str">
        <f>IFERROR(ROUND(IF('Состав ВТК'!$K38="Безвозмездно",0,IF('Состав ВТК'!N38="0,00",F46/'Состав ВТК'!R38,F46/'Состав ВТК'!N38)),2),"-")</f>
        <v>-</v>
      </c>
      <c r="H46" s="390" t="str">
        <f>IFERROR(IF($I46=справочник!$C$5,0.5-'Состав ВТК'!G38-G46,1.5-'Состав ВТК'!G38-G46),"-")</f>
        <v>-</v>
      </c>
      <c r="I46" s="545"/>
      <c r="K46" s="356"/>
    </row>
    <row r="47" spans="1:11" hidden="1" x14ac:dyDescent="0.25">
      <c r="A47" s="387" t="s">
        <v>16</v>
      </c>
      <c r="B47" s="388"/>
      <c r="C47" s="388"/>
      <c r="D47" s="389">
        <f>'Состав ВТК'!$B39</f>
        <v>0</v>
      </c>
      <c r="E47" s="388" t="str">
        <f>IFERROR(VLOOKUP($D47,'Состав ВТК'!$B$9:$I$108,8,FALSE),"-")</f>
        <v>-</v>
      </c>
      <c r="F47" s="376">
        <f t="shared" si="1"/>
        <v>0</v>
      </c>
      <c r="G47" s="666" t="str">
        <f>IFERROR(ROUND(IF('Состав ВТК'!$K39="Безвозмездно",0,IF('Состав ВТК'!N39="0,00",F47/'Состав ВТК'!R39,F47/'Состав ВТК'!N39)),2),"-")</f>
        <v>-</v>
      </c>
      <c r="H47" s="390" t="str">
        <f>IFERROR(IF($I47=справочник!$C$5,0.5-'Состав ВТК'!G39-G47,1.5-'Состав ВТК'!G39-G47),"-")</f>
        <v>-</v>
      </c>
      <c r="I47" s="545"/>
      <c r="K47" s="356"/>
    </row>
    <row r="48" spans="1:11" hidden="1" x14ac:dyDescent="0.25">
      <c r="A48" s="387" t="s">
        <v>16</v>
      </c>
      <c r="B48" s="388"/>
      <c r="C48" s="388"/>
      <c r="D48" s="389">
        <f>'Состав ВТК'!$B40</f>
        <v>0</v>
      </c>
      <c r="E48" s="388" t="str">
        <f>IFERROR(VLOOKUP($D48,'Состав ВТК'!$B$9:$I$108,8,FALSE),"-")</f>
        <v>-</v>
      </c>
      <c r="F48" s="376">
        <f t="shared" si="1"/>
        <v>0</v>
      </c>
      <c r="G48" s="666" t="str">
        <f>IFERROR(ROUND(IF('Состав ВТК'!$K40="Безвозмездно",0,IF('Состав ВТК'!N40="0,00",F48/'Состав ВТК'!R40,F48/'Состав ВТК'!N40)),2),"-")</f>
        <v>-</v>
      </c>
      <c r="H48" s="390" t="str">
        <f>IFERROR(IF($I48=справочник!$C$5,0.5-'Состав ВТК'!G40-G48,1.5-'Состав ВТК'!G40-G48),"-")</f>
        <v>-</v>
      </c>
      <c r="I48" s="545"/>
      <c r="K48" s="356"/>
    </row>
    <row r="49" spans="1:17" hidden="1" x14ac:dyDescent="0.25">
      <c r="A49" s="387" t="s">
        <v>16</v>
      </c>
      <c r="B49" s="388"/>
      <c r="C49" s="388"/>
      <c r="D49" s="389">
        <f>'Состав ВТК'!$B41</f>
        <v>0</v>
      </c>
      <c r="E49" s="388" t="str">
        <f>IFERROR(VLOOKUP($D49,'Состав ВТК'!$B$9:$I$108,8,FALSE),"-")</f>
        <v>-</v>
      </c>
      <c r="F49" s="376">
        <f t="shared" ref="F49:F80" si="2">IFERROR(SUMIF($D$464:$D$714,$D49,$F$464:$F$714),"-")</f>
        <v>0</v>
      </c>
      <c r="G49" s="666" t="str">
        <f>IFERROR(ROUND(IF('Состав ВТК'!$K41="Безвозмездно",0,IF('Состав ВТК'!N41="0,00",F49/'Состав ВТК'!R41,F49/'Состав ВТК'!N41)),2),"-")</f>
        <v>-</v>
      </c>
      <c r="H49" s="390" t="str">
        <f>IFERROR(IF($I49=справочник!$C$5,0.5-'Состав ВТК'!G41-G49,1.5-'Состав ВТК'!G41-G49),"-")</f>
        <v>-</v>
      </c>
      <c r="I49" s="545"/>
      <c r="K49" s="356"/>
    </row>
    <row r="50" spans="1:17" hidden="1" x14ac:dyDescent="0.25">
      <c r="A50" s="387" t="s">
        <v>16</v>
      </c>
      <c r="B50" s="388"/>
      <c r="C50" s="388"/>
      <c r="D50" s="389">
        <f>'Состав ВТК'!$B42</f>
        <v>0</v>
      </c>
      <c r="E50" s="388" t="str">
        <f>IFERROR(VLOOKUP($D50,'Состав ВТК'!$B$9:$I$108,8,FALSE),"-")</f>
        <v>-</v>
      </c>
      <c r="F50" s="376">
        <f t="shared" si="2"/>
        <v>0</v>
      </c>
      <c r="G50" s="666" t="str">
        <f>IFERROR(ROUND(IF('Состав ВТК'!$K42="Безвозмездно",0,IF('Состав ВТК'!N42="0,00",F50/'Состав ВТК'!R42,F50/'Состав ВТК'!N42)),2),"-")</f>
        <v>-</v>
      </c>
      <c r="H50" s="390" t="str">
        <f>IFERROR(IF($I50=справочник!$C$5,0.5-'Состав ВТК'!G42-G50,1.5-'Состав ВТК'!G42-G50),"-")</f>
        <v>-</v>
      </c>
      <c r="I50" s="545"/>
      <c r="K50" s="356"/>
    </row>
    <row r="51" spans="1:17" hidden="1" x14ac:dyDescent="0.25">
      <c r="A51" s="387" t="s">
        <v>16</v>
      </c>
      <c r="B51" s="388"/>
      <c r="C51" s="388"/>
      <c r="D51" s="389">
        <f>'Состав ВТК'!$B43</f>
        <v>0</v>
      </c>
      <c r="E51" s="388" t="str">
        <f>IFERROR(VLOOKUP($D51,'Состав ВТК'!$B$9:$I$108,8,FALSE),"-")</f>
        <v>-</v>
      </c>
      <c r="F51" s="376">
        <f t="shared" si="2"/>
        <v>0</v>
      </c>
      <c r="G51" s="666" t="str">
        <f>IFERROR(ROUND(IF('Состав ВТК'!$K43="Безвозмездно",0,IF('Состав ВТК'!N43="0,00",F51/'Состав ВТК'!R43,F51/'Состав ВТК'!N43)),2),"-")</f>
        <v>-</v>
      </c>
      <c r="H51" s="390" t="str">
        <f>IFERROR(IF($I51=справочник!$C$5,0.5-'Состав ВТК'!G43-G51,1.5-'Состав ВТК'!G43-G51),"-")</f>
        <v>-</v>
      </c>
      <c r="I51" s="545"/>
      <c r="K51" s="356"/>
    </row>
    <row r="52" spans="1:17" hidden="1" x14ac:dyDescent="0.25">
      <c r="A52" s="387" t="s">
        <v>16</v>
      </c>
      <c r="B52" s="388"/>
      <c r="C52" s="388"/>
      <c r="D52" s="389">
        <f>'Состав ВТК'!$B44</f>
        <v>0</v>
      </c>
      <c r="E52" s="388" t="str">
        <f>IFERROR(VLOOKUP($D52,'Состав ВТК'!$B$9:$I$108,8,FALSE),"-")</f>
        <v>-</v>
      </c>
      <c r="F52" s="376">
        <f t="shared" si="2"/>
        <v>0</v>
      </c>
      <c r="G52" s="666" t="str">
        <f>IFERROR(ROUND(IF('Состав ВТК'!$K44="Безвозмездно",0,IF('Состав ВТК'!N44="0,00",F52/'Состав ВТК'!R44,F52/'Состав ВТК'!N44)),2),"-")</f>
        <v>-</v>
      </c>
      <c r="H52" s="390" t="str">
        <f>IFERROR(IF($I52=справочник!$C$5,0.5-'Состав ВТК'!G44-G52,1.5-'Состав ВТК'!G44-G52),"-")</f>
        <v>-</v>
      </c>
      <c r="I52" s="545"/>
      <c r="K52" s="356"/>
    </row>
    <row r="53" spans="1:17" hidden="1" x14ac:dyDescent="0.25">
      <c r="A53" s="387" t="s">
        <v>16</v>
      </c>
      <c r="B53" s="388"/>
      <c r="C53" s="388"/>
      <c r="D53" s="389">
        <f>'Состав ВТК'!$B45</f>
        <v>0</v>
      </c>
      <c r="E53" s="388" t="str">
        <f>IFERROR(VLOOKUP($D53,'Состав ВТК'!$B$9:$I$108,8,FALSE),"-")</f>
        <v>-</v>
      </c>
      <c r="F53" s="376">
        <f t="shared" si="2"/>
        <v>0</v>
      </c>
      <c r="G53" s="666" t="str">
        <f>IFERROR(ROUND(IF('Состав ВТК'!$K45="Безвозмездно",0,IF('Состав ВТК'!N45="0,00",F53/'Состав ВТК'!R45,F53/'Состав ВТК'!N45)),2),"-")</f>
        <v>-</v>
      </c>
      <c r="H53" s="390" t="str">
        <f>IFERROR(IF($I53=справочник!$C$5,0.5-'Состав ВТК'!G45-G53,1.5-'Состав ВТК'!G45-G53),"-")</f>
        <v>-</v>
      </c>
      <c r="I53" s="545"/>
      <c r="K53" s="356"/>
    </row>
    <row r="54" spans="1:17" hidden="1" x14ac:dyDescent="0.25">
      <c r="A54" s="387" t="s">
        <v>16</v>
      </c>
      <c r="B54" s="388"/>
      <c r="C54" s="388"/>
      <c r="D54" s="389">
        <f>'Состав ВТК'!$B46</f>
        <v>0</v>
      </c>
      <c r="E54" s="388" t="str">
        <f>IFERROR(VLOOKUP($D54,'Состав ВТК'!$B$9:$I$108,8,FALSE),"-")</f>
        <v>-</v>
      </c>
      <c r="F54" s="376">
        <f t="shared" si="2"/>
        <v>0</v>
      </c>
      <c r="G54" s="666" t="str">
        <f>IFERROR(ROUND(IF('Состав ВТК'!$K46="Безвозмездно",0,IF('Состав ВТК'!N46="0,00",F54/'Состав ВТК'!R46,F54/'Состав ВТК'!N46)),2),"-")</f>
        <v>-</v>
      </c>
      <c r="H54" s="390" t="str">
        <f>IFERROR(IF($I54=справочник!$C$5,0.5-'Состав ВТК'!G46-G54,1.5-'Состав ВТК'!G46-G54),"-")</f>
        <v>-</v>
      </c>
      <c r="I54" s="545"/>
      <c r="K54" s="356"/>
    </row>
    <row r="55" spans="1:17" hidden="1" x14ac:dyDescent="0.25">
      <c r="A55" s="387" t="s">
        <v>16</v>
      </c>
      <c r="B55" s="388"/>
      <c r="C55" s="388"/>
      <c r="D55" s="389">
        <f>'Состав ВТК'!$B47</f>
        <v>0</v>
      </c>
      <c r="E55" s="388" t="str">
        <f>IFERROR(VLOOKUP($D55,'Состав ВТК'!$B$9:$I$108,8,FALSE),"-")</f>
        <v>-</v>
      </c>
      <c r="F55" s="376">
        <f t="shared" si="2"/>
        <v>0</v>
      </c>
      <c r="G55" s="666" t="str">
        <f>IFERROR(ROUND(IF('Состав ВТК'!$K47="Безвозмездно",0,IF('Состав ВТК'!N47="0,00",F55/'Состав ВТК'!R47,F55/'Состав ВТК'!N47)),2),"-")</f>
        <v>-</v>
      </c>
      <c r="H55" s="390" t="str">
        <f>IFERROR(IF($I55=справочник!$C$5,0.5-'Состав ВТК'!G47-G55,1.5-'Состав ВТК'!G47-G55),"-")</f>
        <v>-</v>
      </c>
      <c r="I55" s="545"/>
      <c r="K55" s="356"/>
    </row>
    <row r="56" spans="1:17" hidden="1" x14ac:dyDescent="0.25">
      <c r="A56" s="387" t="s">
        <v>16</v>
      </c>
      <c r="B56" s="388"/>
      <c r="C56" s="388"/>
      <c r="D56" s="389">
        <f>'Состав ВТК'!$B48</f>
        <v>0</v>
      </c>
      <c r="E56" s="388" t="str">
        <f>IFERROR(VLOOKUP($D56,'Состав ВТК'!$B$9:$I$108,8,FALSE),"-")</f>
        <v>-</v>
      </c>
      <c r="F56" s="376">
        <f t="shared" si="2"/>
        <v>0</v>
      </c>
      <c r="G56" s="666" t="str">
        <f>IFERROR(ROUND(IF('Состав ВТК'!$K48="Безвозмездно",0,IF('Состав ВТК'!N48="0,00",F56/'Состав ВТК'!R48,F56/'Состав ВТК'!N48)),2),"-")</f>
        <v>-</v>
      </c>
      <c r="H56" s="390" t="str">
        <f>IFERROR(IF($I56=справочник!$C$5,0.5-'Состав ВТК'!G48-G56,1.5-'Состав ВТК'!G48-G56),"-")</f>
        <v>-</v>
      </c>
      <c r="I56" s="545"/>
      <c r="K56" s="356"/>
    </row>
    <row r="57" spans="1:17" hidden="1" x14ac:dyDescent="0.25">
      <c r="A57" s="387" t="s">
        <v>16</v>
      </c>
      <c r="B57" s="388"/>
      <c r="C57" s="388"/>
      <c r="D57" s="389">
        <f>'Состав ВТК'!$B49</f>
        <v>0</v>
      </c>
      <c r="E57" s="388" t="str">
        <f>IFERROR(VLOOKUP($D57,'Состав ВТК'!$B$9:$I$108,8,FALSE),"-")</f>
        <v>-</v>
      </c>
      <c r="F57" s="376">
        <f t="shared" si="2"/>
        <v>0</v>
      </c>
      <c r="G57" s="666" t="str">
        <f>IFERROR(ROUND(IF('Состав ВТК'!$K49="Безвозмездно",0,IF('Состав ВТК'!N49="0,00",F57/'Состав ВТК'!R49,F57/'Состав ВТК'!N49)),2),"-")</f>
        <v>-</v>
      </c>
      <c r="H57" s="390" t="str">
        <f>IFERROR(IF($I57=справочник!$C$5,0.5-'Состав ВТК'!G49-G57,1.5-'Состав ВТК'!G49-G57),"-")</f>
        <v>-</v>
      </c>
      <c r="I57" s="545"/>
      <c r="K57" s="356"/>
    </row>
    <row r="58" spans="1:17" hidden="1" x14ac:dyDescent="0.25">
      <c r="A58" s="387" t="s">
        <v>16</v>
      </c>
      <c r="B58" s="388"/>
      <c r="C58" s="388"/>
      <c r="D58" s="389">
        <f>'Состав ВТК'!$B50</f>
        <v>0</v>
      </c>
      <c r="E58" s="388" t="str">
        <f>IFERROR(VLOOKUP($D58,'Состав ВТК'!$B$9:$I$108,8,FALSE),"-")</f>
        <v>-</v>
      </c>
      <c r="F58" s="376">
        <f t="shared" si="2"/>
        <v>0</v>
      </c>
      <c r="G58" s="666" t="str">
        <f>IFERROR(ROUND(IF('Состав ВТК'!$K50="Безвозмездно",0,IF('Состав ВТК'!N50="0,00",F58/'Состав ВТК'!R50,F58/'Состав ВТК'!N50)),2),"-")</f>
        <v>-</v>
      </c>
      <c r="H58" s="390" t="str">
        <f>IFERROR(IF($I58=справочник!$C$5,0.5-'Состав ВТК'!G50-G58,1.5-'Состав ВТК'!G50-G58),"-")</f>
        <v>-</v>
      </c>
      <c r="I58" s="545"/>
      <c r="K58" s="356"/>
    </row>
    <row r="59" spans="1:17" hidden="1" x14ac:dyDescent="0.25">
      <c r="A59" s="387" t="s">
        <v>16</v>
      </c>
      <c r="B59" s="388"/>
      <c r="C59" s="388"/>
      <c r="D59" s="389">
        <f>'Состав ВТК'!$B51</f>
        <v>0</v>
      </c>
      <c r="E59" s="388" t="str">
        <f>IFERROR(VLOOKUP($D59,'Состав ВТК'!$B$9:$I$108,8,FALSE),"-")</f>
        <v>-</v>
      </c>
      <c r="F59" s="376">
        <f t="shared" si="2"/>
        <v>0</v>
      </c>
      <c r="G59" s="666" t="str">
        <f>IFERROR(ROUND(IF('Состав ВТК'!$K51="Безвозмездно",0,IF('Состав ВТК'!N51="0,00",F59/'Состав ВТК'!R51,F59/'Состав ВТК'!N51)),2),"-")</f>
        <v>-</v>
      </c>
      <c r="H59" s="390" t="str">
        <f>IFERROR(IF($I59=справочник!$C$5,0.5-'Состав ВТК'!G51-G59,1.5-'Состав ВТК'!G51-G59),"-")</f>
        <v>-</v>
      </c>
      <c r="I59" s="545"/>
      <c r="K59" s="356"/>
    </row>
    <row r="60" spans="1:17" hidden="1" x14ac:dyDescent="0.25">
      <c r="A60" s="387" t="s">
        <v>16</v>
      </c>
      <c r="B60" s="388"/>
      <c r="C60" s="388"/>
      <c r="D60" s="389">
        <f>'Состав ВТК'!$B52</f>
        <v>0</v>
      </c>
      <c r="E60" s="388" t="str">
        <f>IFERROR(VLOOKUP($D60,'Состав ВТК'!$B$9:$I$108,8,FALSE),"-")</f>
        <v>-</v>
      </c>
      <c r="F60" s="376">
        <f t="shared" si="2"/>
        <v>0</v>
      </c>
      <c r="G60" s="666" t="str">
        <f>IFERROR(ROUND(IF('Состав ВТК'!$K52="Безвозмездно",0,IF('Состав ВТК'!N52="0,00",F60/'Состав ВТК'!R52,F60/'Состав ВТК'!N52)),2),"-")</f>
        <v>-</v>
      </c>
      <c r="H60" s="390" t="str">
        <f>IFERROR(IF($I60=справочник!$C$5,0.5-'Состав ВТК'!G52-G60,1.5-'Состав ВТК'!G52-G60),"-")</f>
        <v>-</v>
      </c>
      <c r="I60" s="545"/>
      <c r="K60" s="356"/>
    </row>
    <row r="61" spans="1:17" hidden="1" x14ac:dyDescent="0.25">
      <c r="A61" s="387" t="s">
        <v>16</v>
      </c>
      <c r="B61" s="388"/>
      <c r="C61" s="388"/>
      <c r="D61" s="389">
        <f>'Состав ВТК'!$B53</f>
        <v>0</v>
      </c>
      <c r="E61" s="388" t="str">
        <f>IFERROR(VLOOKUP($D61,'Состав ВТК'!$B$9:$I$108,8,FALSE),"-")</f>
        <v>-</v>
      </c>
      <c r="F61" s="376">
        <f t="shared" si="2"/>
        <v>0</v>
      </c>
      <c r="G61" s="666" t="str">
        <f>IFERROR(ROUND(IF('Состав ВТК'!$K53="Безвозмездно",0,IF('Состав ВТК'!N53="0,00",F61/'Состав ВТК'!R53,F61/'Состав ВТК'!N53)),2),"-")</f>
        <v>-</v>
      </c>
      <c r="H61" s="390" t="str">
        <f>IFERROR(IF($I61=справочник!$C$5,0.5-'Состав ВТК'!G53-G61,1.5-'Состав ВТК'!G53-G61),"-")</f>
        <v>-</v>
      </c>
      <c r="I61" s="545">
        <f>'Состав ВТК'!J23</f>
        <v>0</v>
      </c>
      <c r="K61" s="356"/>
      <c r="P61" s="392"/>
      <c r="Q61" s="392"/>
    </row>
    <row r="62" spans="1:17" hidden="1" x14ac:dyDescent="0.25">
      <c r="A62" s="387" t="s">
        <v>16</v>
      </c>
      <c r="B62" s="388"/>
      <c r="C62" s="388"/>
      <c r="D62" s="389">
        <f>'Состав ВТК'!$B54</f>
        <v>0</v>
      </c>
      <c r="E62" s="388" t="str">
        <f>IFERROR(VLOOKUP($D62,'Состав ВТК'!$B$9:$I$108,8,FALSE),"-")</f>
        <v>-</v>
      </c>
      <c r="F62" s="376">
        <f t="shared" si="2"/>
        <v>0</v>
      </c>
      <c r="G62" s="666" t="str">
        <f>IFERROR(ROUND(IF('Состав ВТК'!$K54="Безвозмездно",0,IF('Состав ВТК'!N54="0,00",F62/'Состав ВТК'!R54,F62/'Состав ВТК'!N54)),2),"-")</f>
        <v>-</v>
      </c>
      <c r="H62" s="390" t="str">
        <f>IFERROR(IF($I62=справочник!$C$5,0.5-'Состав ВТК'!G54-G62,1.5-'Состав ВТК'!G54-G62),"-")</f>
        <v>-</v>
      </c>
      <c r="I62" s="545"/>
      <c r="K62" s="356"/>
      <c r="P62" s="392"/>
      <c r="Q62" s="392"/>
    </row>
    <row r="63" spans="1:17" hidden="1" x14ac:dyDescent="0.25">
      <c r="A63" s="387" t="s">
        <v>16</v>
      </c>
      <c r="B63" s="388"/>
      <c r="C63" s="388"/>
      <c r="D63" s="389">
        <f>'Состав ВТК'!$B55</f>
        <v>0</v>
      </c>
      <c r="E63" s="388" t="str">
        <f>IFERROR(VLOOKUP($D63,'Состав ВТК'!$B$9:$I$108,8,FALSE),"-")</f>
        <v>-</v>
      </c>
      <c r="F63" s="376">
        <f t="shared" si="2"/>
        <v>0</v>
      </c>
      <c r="G63" s="666" t="str">
        <f>IFERROR(ROUND(IF('Состав ВТК'!$K55="Безвозмездно",0,IF('Состав ВТК'!N55="0,00",F63/'Состав ВТК'!R55,F63/'Состав ВТК'!N55)),2),"-")</f>
        <v>-</v>
      </c>
      <c r="H63" s="390" t="str">
        <f>IFERROR(IF($I63=справочник!$C$5,0.5-'Состав ВТК'!G55-G63,1.5-'Состав ВТК'!G55-G63),"-")</f>
        <v>-</v>
      </c>
      <c r="I63" s="545"/>
      <c r="K63" s="356"/>
      <c r="P63" s="392"/>
      <c r="Q63" s="392"/>
    </row>
    <row r="64" spans="1:17" hidden="1" x14ac:dyDescent="0.25">
      <c r="A64" s="387" t="s">
        <v>16</v>
      </c>
      <c r="B64" s="388"/>
      <c r="C64" s="388"/>
      <c r="D64" s="389">
        <f>'Состав ВТК'!$B56</f>
        <v>0</v>
      </c>
      <c r="E64" s="388" t="str">
        <f>IFERROR(VLOOKUP($D64,'Состав ВТК'!$B$9:$I$108,8,FALSE),"-")</f>
        <v>-</v>
      </c>
      <c r="F64" s="376">
        <f t="shared" si="2"/>
        <v>0</v>
      </c>
      <c r="G64" s="666" t="str">
        <f>IFERROR(ROUND(IF('Состав ВТК'!$K56="Безвозмездно",0,IF('Состав ВТК'!N56="0,00",F64/'Состав ВТК'!R56,F64/'Состав ВТК'!N56)),2),"-")</f>
        <v>-</v>
      </c>
      <c r="H64" s="390" t="str">
        <f>IFERROR(IF($I64=справочник!$C$5,0.5-'Состав ВТК'!G56-G64,1.5-'Состав ВТК'!G56-G64),"-")</f>
        <v>-</v>
      </c>
      <c r="I64" s="545"/>
      <c r="K64" s="356"/>
      <c r="P64" s="392"/>
      <c r="Q64" s="392"/>
    </row>
    <row r="65" spans="1:59" hidden="1" x14ac:dyDescent="0.25">
      <c r="A65" s="387" t="s">
        <v>16</v>
      </c>
      <c r="B65" s="388"/>
      <c r="C65" s="388"/>
      <c r="D65" s="389">
        <f>'Состав ВТК'!$B57</f>
        <v>0</v>
      </c>
      <c r="E65" s="388" t="str">
        <f>IFERROR(VLOOKUP($D65,'Состав ВТК'!$B$9:$I$108,8,FALSE),"-")</f>
        <v>-</v>
      </c>
      <c r="F65" s="376">
        <f t="shared" si="2"/>
        <v>0</v>
      </c>
      <c r="G65" s="666" t="str">
        <f>IFERROR(ROUND(IF('Состав ВТК'!$K57="Безвозмездно",0,IF('Состав ВТК'!N57="0,00",F65/'Состав ВТК'!R57,F65/'Состав ВТК'!N57)),2),"-")</f>
        <v>-</v>
      </c>
      <c r="H65" s="390" t="str">
        <f>IFERROR(IF($I65=справочник!$C$5,0.5-'Состав ВТК'!G57-G65,1.5-'Состав ВТК'!G57-G65),"-")</f>
        <v>-</v>
      </c>
      <c r="I65" s="545"/>
      <c r="K65" s="356"/>
      <c r="P65" s="392"/>
      <c r="Q65" s="392"/>
    </row>
    <row r="66" spans="1:59" hidden="1" x14ac:dyDescent="0.25">
      <c r="A66" s="387" t="s">
        <v>16</v>
      </c>
      <c r="B66" s="388"/>
      <c r="C66" s="388"/>
      <c r="D66" s="389">
        <f>'Состав ВТК'!$B58</f>
        <v>0</v>
      </c>
      <c r="E66" s="388" t="str">
        <f>IFERROR(VLOOKUP($D66,'Состав ВТК'!$B$9:$I$108,8,FALSE),"-")</f>
        <v>-</v>
      </c>
      <c r="F66" s="376">
        <f t="shared" si="2"/>
        <v>0</v>
      </c>
      <c r="G66" s="666" t="str">
        <f>IFERROR(ROUND(IF('Состав ВТК'!$K58="Безвозмездно",0,IF('Состав ВТК'!N58="0,00",F66/'Состав ВТК'!R58,F66/'Состав ВТК'!N58)),2),"-")</f>
        <v>-</v>
      </c>
      <c r="H66" s="390" t="str">
        <f>IFERROR(IF($I66=справочник!$C$5,0.5-'Состав ВТК'!G58-G66,1.5-'Состав ВТК'!G58-G66),"-")</f>
        <v>-</v>
      </c>
      <c r="I66" s="545"/>
      <c r="K66" s="356"/>
      <c r="P66" s="392"/>
      <c r="Q66" s="392"/>
    </row>
    <row r="67" spans="1:59" hidden="1" x14ac:dyDescent="0.25">
      <c r="A67" s="387" t="s">
        <v>16</v>
      </c>
      <c r="B67" s="388"/>
      <c r="C67" s="388"/>
      <c r="D67" s="389">
        <f>'Состав ВТК'!$B59</f>
        <v>0</v>
      </c>
      <c r="E67" s="388" t="str">
        <f>IFERROR(VLOOKUP($D67,'Состав ВТК'!$B$9:$I$108,8,FALSE),"-")</f>
        <v>-</v>
      </c>
      <c r="F67" s="376">
        <f t="shared" si="2"/>
        <v>0</v>
      </c>
      <c r="G67" s="666" t="str">
        <f>IFERROR(ROUND(IF('Состав ВТК'!$K59="Безвозмездно",0,IF('Состав ВТК'!N59="0,00",F67/'Состав ВТК'!R59,F67/'Состав ВТК'!N59)),2),"-")</f>
        <v>-</v>
      </c>
      <c r="H67" s="390" t="str">
        <f>IFERROR(IF($I67=справочник!$C$5,0.5-'Состав ВТК'!G59-G67,1.5-'Состав ВТК'!G59-G67),"-")</f>
        <v>-</v>
      </c>
      <c r="I67" s="545"/>
      <c r="K67" s="356"/>
      <c r="P67" s="392"/>
      <c r="Q67" s="392"/>
    </row>
    <row r="68" spans="1:59" hidden="1" x14ac:dyDescent="0.25">
      <c r="A68" s="387" t="s">
        <v>16</v>
      </c>
      <c r="B68" s="388"/>
      <c r="C68" s="388"/>
      <c r="D68" s="389">
        <f>'Состав ВТК'!$B60</f>
        <v>0</v>
      </c>
      <c r="E68" s="388" t="str">
        <f>IFERROR(VLOOKUP($D68,'Состав ВТК'!$B$9:$I$108,8,FALSE),"-")</f>
        <v>-</v>
      </c>
      <c r="F68" s="376">
        <f t="shared" si="2"/>
        <v>0</v>
      </c>
      <c r="G68" s="666" t="str">
        <f>IFERROR(ROUND(IF('Состав ВТК'!$K60="Безвозмездно",0,IF('Состав ВТК'!N60="0,00",F68/'Состав ВТК'!R60,F68/'Состав ВТК'!N60)),2),"-")</f>
        <v>-</v>
      </c>
      <c r="H68" s="390" t="str">
        <f>IFERROR(IF($I68=справочник!$C$5,0.5-'Состав ВТК'!G60-G68,1.5-'Состав ВТК'!G60-G68),"-")</f>
        <v>-</v>
      </c>
      <c r="I68" s="545"/>
      <c r="K68" s="356"/>
      <c r="P68" s="392"/>
      <c r="Q68" s="392"/>
    </row>
    <row r="69" spans="1:59" hidden="1" x14ac:dyDescent="0.25">
      <c r="A69" s="387" t="s">
        <v>16</v>
      </c>
      <c r="B69" s="388"/>
      <c r="C69" s="388"/>
      <c r="D69" s="389">
        <f>'Состав ВТК'!$B61</f>
        <v>0</v>
      </c>
      <c r="E69" s="388" t="str">
        <f>IFERROR(VLOOKUP($D69,'Состав ВТК'!$B$9:$I$108,8,FALSE),"-")</f>
        <v>-</v>
      </c>
      <c r="F69" s="376">
        <f t="shared" si="2"/>
        <v>0</v>
      </c>
      <c r="G69" s="666" t="str">
        <f>IFERROR(ROUND(IF('Состав ВТК'!$K61="Безвозмездно",0,IF('Состав ВТК'!N61="0,00",F69/'Состав ВТК'!R61,F69/'Состав ВТК'!N61)),2),"-")</f>
        <v>-</v>
      </c>
      <c r="H69" s="390" t="str">
        <f>IFERROR(IF($I69=справочник!$C$5,0.5-'Состав ВТК'!G61-G69,1.5-'Состав ВТК'!G61-G69),"-")</f>
        <v>-</v>
      </c>
      <c r="I69" s="545"/>
      <c r="K69" s="356"/>
      <c r="P69" s="392"/>
      <c r="Q69" s="392"/>
    </row>
    <row r="70" spans="1:59" hidden="1" x14ac:dyDescent="0.25">
      <c r="A70" s="387" t="s">
        <v>16</v>
      </c>
      <c r="B70" s="388"/>
      <c r="C70" s="388"/>
      <c r="D70" s="389">
        <f>'Состав ВТК'!$B62</f>
        <v>0</v>
      </c>
      <c r="E70" s="388" t="str">
        <f>IFERROR(VLOOKUP($D70,'Состав ВТК'!$B$9:$I$108,8,FALSE),"-")</f>
        <v>-</v>
      </c>
      <c r="F70" s="376">
        <f t="shared" si="2"/>
        <v>0</v>
      </c>
      <c r="G70" s="666" t="str">
        <f>IFERROR(ROUND(IF('Состав ВТК'!$K62="Безвозмездно",0,IF('Состав ВТК'!N62="0,00",F70/'Состав ВТК'!R62,F70/'Состав ВТК'!N62)),2),"-")</f>
        <v>-</v>
      </c>
      <c r="H70" s="390" t="str">
        <f>IFERROR(IF($I70=справочник!$C$5,0.5-'Состав ВТК'!G62-G70,1.5-'Состав ВТК'!G62-G70),"-")</f>
        <v>-</v>
      </c>
      <c r="I70" s="545"/>
      <c r="K70" s="356"/>
      <c r="P70" s="392"/>
      <c r="Q70" s="392"/>
    </row>
    <row r="71" spans="1:59" hidden="1" x14ac:dyDescent="0.25">
      <c r="A71" s="387" t="s">
        <v>16</v>
      </c>
      <c r="B71" s="388"/>
      <c r="C71" s="388"/>
      <c r="D71" s="389">
        <f>'Состав ВТК'!$B63</f>
        <v>0</v>
      </c>
      <c r="E71" s="388" t="str">
        <f>IFERROR(VLOOKUP($D71,'Состав ВТК'!$B$9:$I$108,8,FALSE),"-")</f>
        <v>-</v>
      </c>
      <c r="F71" s="376">
        <f t="shared" si="2"/>
        <v>0</v>
      </c>
      <c r="G71" s="666" t="str">
        <f>IFERROR(ROUND(IF('Состав ВТК'!$K63="Безвозмездно",0,IF('Состав ВТК'!N63="0,00",F71/'Состав ВТК'!R63,F71/'Состав ВТК'!N63)),2),"-")</f>
        <v>-</v>
      </c>
      <c r="H71" s="390" t="str">
        <f>IFERROR(IF($I71=справочник!$C$5,0.5-'Состав ВТК'!G63-G71,1.5-'Состав ВТК'!G63-G71),"-")</f>
        <v>-</v>
      </c>
      <c r="I71" s="545"/>
      <c r="K71" s="356"/>
      <c r="P71" s="392"/>
      <c r="Q71" s="392"/>
    </row>
    <row r="72" spans="1:59" hidden="1" x14ac:dyDescent="0.25">
      <c r="A72" s="387" t="s">
        <v>16</v>
      </c>
      <c r="B72" s="388"/>
      <c r="C72" s="388"/>
      <c r="D72" s="389">
        <f>'Состав ВТК'!$B64</f>
        <v>0</v>
      </c>
      <c r="E72" s="388" t="str">
        <f>IFERROR(VLOOKUP($D72,'Состав ВТК'!$B$9:$I$108,8,FALSE),"-")</f>
        <v>-</v>
      </c>
      <c r="F72" s="376">
        <f t="shared" si="2"/>
        <v>0</v>
      </c>
      <c r="G72" s="666" t="str">
        <f>IFERROR(ROUND(IF('Состав ВТК'!$K64="Безвозмездно",0,IF('Состав ВТК'!N64="0,00",F72/'Состав ВТК'!R64,F72/'Состав ВТК'!N64)),2),"-")</f>
        <v>-</v>
      </c>
      <c r="H72" s="390" t="str">
        <f>IFERROR(IF($I72=справочник!$C$5,0.5-'Состав ВТК'!G64-G72,1.5-'Состав ВТК'!G64-G72),"-")</f>
        <v>-</v>
      </c>
      <c r="I72" s="545"/>
      <c r="K72" s="356"/>
      <c r="P72" s="392"/>
      <c r="Q72" s="392"/>
    </row>
    <row r="73" spans="1:59" hidden="1" x14ac:dyDescent="0.25">
      <c r="A73" s="387" t="s">
        <v>16</v>
      </c>
      <c r="B73" s="388"/>
      <c r="C73" s="388"/>
      <c r="D73" s="389">
        <f>'Состав ВТК'!$B65</f>
        <v>0</v>
      </c>
      <c r="E73" s="388" t="str">
        <f>IFERROR(VLOOKUP($D73,'Состав ВТК'!$B$9:$I$108,8,FALSE),"-")</f>
        <v>-</v>
      </c>
      <c r="F73" s="376">
        <f t="shared" si="2"/>
        <v>0</v>
      </c>
      <c r="G73" s="666" t="str">
        <f>IFERROR(ROUND(IF('Состав ВТК'!$K65="Безвозмездно",0,IF('Состав ВТК'!N65="0,00",F73/'Состав ВТК'!R65,F73/'Состав ВТК'!N65)),2),"-")</f>
        <v>-</v>
      </c>
      <c r="H73" s="390" t="str">
        <f>IFERROR(IF($I73=справочник!$C$5,0.5-'Состав ВТК'!G65-G73,1.5-'Состав ВТК'!G65-G73),"-")</f>
        <v>-</v>
      </c>
      <c r="I73" s="545"/>
      <c r="K73" s="356"/>
      <c r="P73" s="392"/>
      <c r="Q73" s="392"/>
    </row>
    <row r="74" spans="1:59" hidden="1" x14ac:dyDescent="0.25">
      <c r="A74" s="387" t="s">
        <v>16</v>
      </c>
      <c r="B74" s="388"/>
      <c r="C74" s="388"/>
      <c r="D74" s="389">
        <f>'Состав ВТК'!$B66</f>
        <v>0</v>
      </c>
      <c r="E74" s="388" t="str">
        <f>IFERROR(VLOOKUP($D74,'Состав ВТК'!$B$9:$I$108,8,FALSE),"-")</f>
        <v>-</v>
      </c>
      <c r="F74" s="376">
        <f t="shared" si="2"/>
        <v>0</v>
      </c>
      <c r="G74" s="666" t="str">
        <f>IFERROR(ROUND(IF('Состав ВТК'!$K66="Безвозмездно",0,IF('Состав ВТК'!N66="0,00",F74/'Состав ВТК'!R66,F74/'Состав ВТК'!N66)),2),"-")</f>
        <v>-</v>
      </c>
      <c r="H74" s="390" t="str">
        <f>IFERROR(IF($I74=справочник!$C$5,0.5-'Состав ВТК'!G66-G74,1.5-'Состав ВТК'!G66-G74),"-")</f>
        <v>-</v>
      </c>
      <c r="I74" s="545"/>
      <c r="K74" s="356"/>
      <c r="P74" s="392"/>
      <c r="Q74" s="392"/>
    </row>
    <row r="75" spans="1:59" hidden="1" x14ac:dyDescent="0.25">
      <c r="A75" s="387" t="s">
        <v>16</v>
      </c>
      <c r="B75" s="388"/>
      <c r="C75" s="388"/>
      <c r="D75" s="389">
        <f>'Состав ВТК'!$B67</f>
        <v>0</v>
      </c>
      <c r="E75" s="388" t="str">
        <f>IFERROR(VLOOKUP($D75,'Состав ВТК'!$B$9:$I$108,8,FALSE),"-")</f>
        <v>-</v>
      </c>
      <c r="F75" s="376">
        <f t="shared" si="2"/>
        <v>0</v>
      </c>
      <c r="G75" s="666" t="str">
        <f>IFERROR(ROUND(IF('Состав ВТК'!$K67="Безвозмездно",0,IF('Состав ВТК'!N67="0,00",F75/'Состав ВТК'!R67,F75/'Состав ВТК'!N67)),2),"-")</f>
        <v>-</v>
      </c>
      <c r="H75" s="390" t="str">
        <f>IFERROR(IF($I75=справочник!$C$5,0.5-'Состав ВТК'!G67-G75,1.5-'Состав ВТК'!G67-G75),"-")</f>
        <v>-</v>
      </c>
      <c r="I75" s="545"/>
      <c r="K75" s="356"/>
      <c r="P75" s="392"/>
      <c r="Q75" s="392"/>
    </row>
    <row r="76" spans="1:59" hidden="1" x14ac:dyDescent="0.25">
      <c r="A76" s="387" t="s">
        <v>16</v>
      </c>
      <c r="B76" s="388"/>
      <c r="C76" s="388"/>
      <c r="D76" s="389">
        <f>'Состав ВТК'!$B68</f>
        <v>0</v>
      </c>
      <c r="E76" s="388" t="str">
        <f>IFERROR(VLOOKUP($D76,'Состав ВТК'!$B$9:$I$108,8,FALSE),"-")</f>
        <v>-</v>
      </c>
      <c r="F76" s="376">
        <f t="shared" si="2"/>
        <v>0</v>
      </c>
      <c r="G76" s="666" t="str">
        <f>IFERROR(ROUND(IF('Состав ВТК'!$K68="Безвозмездно",0,IF('Состав ВТК'!N68="0,00",F76/'Состав ВТК'!R68,F76/'Состав ВТК'!N68)),2),"-")</f>
        <v>-</v>
      </c>
      <c r="H76" s="390" t="str">
        <f>IFERROR(IF($I76=справочник!$C$5,0.5-'Состав ВТК'!G68-G76,1.5-'Состав ВТК'!G68-G76),"-")</f>
        <v>-</v>
      </c>
      <c r="I76" s="545"/>
      <c r="K76" s="356"/>
      <c r="P76" s="392"/>
      <c r="Q76" s="392"/>
    </row>
    <row r="77" spans="1:59" hidden="1" x14ac:dyDescent="0.25">
      <c r="A77" s="387" t="s">
        <v>16</v>
      </c>
      <c r="B77" s="388"/>
      <c r="C77" s="388"/>
      <c r="D77" s="389">
        <f>'Состав ВТК'!$B69</f>
        <v>0</v>
      </c>
      <c r="E77" s="388" t="str">
        <f>IFERROR(VLOOKUP($D77,'Состав ВТК'!$B$9:$I$108,8,FALSE),"-")</f>
        <v>-</v>
      </c>
      <c r="F77" s="376">
        <f t="shared" si="2"/>
        <v>0</v>
      </c>
      <c r="G77" s="666" t="str">
        <f>IFERROR(ROUND(IF('Состав ВТК'!$K69="Безвозмездно",0,IF('Состав ВТК'!N69="0,00",F77/'Состав ВТК'!R69,F77/'Состав ВТК'!N69)),2),"-")</f>
        <v>-</v>
      </c>
      <c r="H77" s="390" t="str">
        <f>IFERROR(IF($I77=справочник!$C$5,0.5-'Состав ВТК'!G69-G77,1.5-'Состав ВТК'!G69-G77),"-")</f>
        <v>-</v>
      </c>
      <c r="I77" s="545"/>
      <c r="K77" s="356"/>
      <c r="P77" s="392"/>
      <c r="Q77" s="392"/>
    </row>
    <row r="78" spans="1:59" hidden="1" x14ac:dyDescent="0.25">
      <c r="A78" s="387" t="s">
        <v>16</v>
      </c>
      <c r="B78" s="388"/>
      <c r="C78" s="388"/>
      <c r="D78" s="389">
        <f>'Состав ВТК'!$B70</f>
        <v>0</v>
      </c>
      <c r="E78" s="388" t="str">
        <f>IFERROR(VLOOKUP($D78,'Состав ВТК'!$B$9:$I$108,8,FALSE),"-")</f>
        <v>-</v>
      </c>
      <c r="F78" s="376">
        <f t="shared" si="2"/>
        <v>0</v>
      </c>
      <c r="G78" s="666" t="str">
        <f>IFERROR(ROUND(IF('Состав ВТК'!$K70="Безвозмездно",0,IF('Состав ВТК'!N70="0,00",F78/'Состав ВТК'!R70,F78/'Состав ВТК'!N70)),2),"-")</f>
        <v>-</v>
      </c>
      <c r="H78" s="390" t="str">
        <f>IFERROR(IF($I78=справочник!$C$5,0.5-'Состав ВТК'!G70-G78,1.5-'Состав ВТК'!G70-G78),"-")</f>
        <v>-</v>
      </c>
      <c r="I78" s="545">
        <f>'Состав ВТК'!J24</f>
        <v>0</v>
      </c>
      <c r="K78" s="356"/>
    </row>
    <row r="79" spans="1:59" hidden="1" x14ac:dyDescent="0.25">
      <c r="A79" s="387" t="s">
        <v>16</v>
      </c>
      <c r="B79" s="388"/>
      <c r="C79" s="388"/>
      <c r="D79" s="389">
        <f>'Состав ВТК'!$B71</f>
        <v>0</v>
      </c>
      <c r="E79" s="388" t="str">
        <f>IFERROR(VLOOKUP($D79,'Состав ВТК'!$B$9:$I$108,8,FALSE),"-")</f>
        <v>-</v>
      </c>
      <c r="F79" s="376">
        <f t="shared" si="2"/>
        <v>0</v>
      </c>
      <c r="G79" s="666" t="str">
        <f>IFERROR(ROUND(IF('Состав ВТК'!$K71="Безвозмездно",0,IF('Состав ВТК'!N71="0,00",F79/'Состав ВТК'!R71,F79/'Состав ВТК'!N71)),2),"-")</f>
        <v>-</v>
      </c>
      <c r="H79" s="390" t="str">
        <f>IFERROR(IF($I79=справочник!$C$5,0.5-'Состав ВТК'!G71-G79,1.5-'Состав ВТК'!G71-G79),"-")</f>
        <v>-</v>
      </c>
      <c r="I79" s="545">
        <f>'Состав ВТК'!J25</f>
        <v>0</v>
      </c>
      <c r="K79" s="356"/>
      <c r="L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</row>
    <row r="80" spans="1:59" hidden="1" x14ac:dyDescent="0.25">
      <c r="A80" s="387" t="s">
        <v>16</v>
      </c>
      <c r="B80" s="388"/>
      <c r="C80" s="388"/>
      <c r="D80" s="389">
        <f>'Состав ВТК'!$B72</f>
        <v>0</v>
      </c>
      <c r="E80" s="388" t="str">
        <f>IFERROR(VLOOKUP($D80,'Состав ВТК'!$B$9:$I$108,8,FALSE),"-")</f>
        <v>-</v>
      </c>
      <c r="F80" s="376">
        <f t="shared" si="2"/>
        <v>0</v>
      </c>
      <c r="G80" s="666" t="str">
        <f>IFERROR(ROUND(IF('Состав ВТК'!$K72="Безвозмездно",0,IF('Состав ВТК'!N72="0,00",F80/'Состав ВТК'!R72,F80/'Состав ВТК'!N72)),2),"-")</f>
        <v>-</v>
      </c>
      <c r="H80" s="390" t="str">
        <f>IFERROR(IF($I80=справочник!$C$5,0.5-'Состав ВТК'!G72-G80,1.5-'Состав ВТК'!G72-G80),"-")</f>
        <v>-</v>
      </c>
      <c r="I80" s="545">
        <f>'Состав ВТК'!J26</f>
        <v>0</v>
      </c>
      <c r="K80" s="356"/>
      <c r="N80" s="563"/>
    </row>
    <row r="81" spans="1:9" s="143" customFormat="1" hidden="1" x14ac:dyDescent="0.25">
      <c r="A81" s="387" t="s">
        <v>16</v>
      </c>
      <c r="B81" s="388"/>
      <c r="C81" s="388"/>
      <c r="D81" s="389">
        <f>'Состав ВТК'!$B73</f>
        <v>0</v>
      </c>
      <c r="E81" s="388" t="str">
        <f>IFERROR(VLOOKUP($D81,'Состав ВТК'!$B$9:$I$108,8,FALSE),"-")</f>
        <v>-</v>
      </c>
      <c r="F81" s="376">
        <f t="shared" ref="F81:F116" si="3">IFERROR(SUMIF($D$464:$D$714,$D81,$F$464:$F$714),"-")</f>
        <v>0</v>
      </c>
      <c r="G81" s="666" t="str">
        <f>IFERROR(ROUND(IF('Состав ВТК'!$K73="Безвозмездно",0,IF('Состав ВТК'!N73="0,00",F81/'Состав ВТК'!R73,F81/'Состав ВТК'!N73)),2),"-")</f>
        <v>-</v>
      </c>
      <c r="H81" s="390" t="str">
        <f>IFERROR(IF($I81=справочник!$C$5,0.5-'Состав ВТК'!G73-G81,1.5-'Состав ВТК'!G73-G81),"-")</f>
        <v>-</v>
      </c>
      <c r="I81" s="562">
        <f>'Состав ВТК'!J27</f>
        <v>0</v>
      </c>
    </row>
    <row r="82" spans="1:9" s="143" customFormat="1" hidden="1" x14ac:dyDescent="0.25">
      <c r="A82" s="387" t="s">
        <v>16</v>
      </c>
      <c r="B82" s="388"/>
      <c r="C82" s="388"/>
      <c r="D82" s="389">
        <f>'Состав ВТК'!$B74</f>
        <v>0</v>
      </c>
      <c r="E82" s="388" t="str">
        <f>IFERROR(VLOOKUP($D82,'Состав ВТК'!$B$9:$I$108,8,FALSE),"-")</f>
        <v>-</v>
      </c>
      <c r="F82" s="376">
        <f t="shared" si="3"/>
        <v>0</v>
      </c>
      <c r="G82" s="666" t="str">
        <f>IFERROR(ROUND(IF('Состав ВТК'!$K74="Безвозмездно",0,IF('Состав ВТК'!N74="0,00",F82/'Состав ВТК'!R74,F82/'Состав ВТК'!N74)),2),"-")</f>
        <v>-</v>
      </c>
      <c r="H82" s="390" t="str">
        <f>IFERROR(IF($I82=справочник!$C$5,0.5-'Состав ВТК'!G74-G82,1.5-'Состав ВТК'!G74-G82),"-")</f>
        <v>-</v>
      </c>
      <c r="I82" s="562">
        <f>'Состав ВТК'!J28</f>
        <v>0</v>
      </c>
    </row>
    <row r="83" spans="1:9" s="143" customFormat="1" hidden="1" x14ac:dyDescent="0.25">
      <c r="A83" s="387" t="s">
        <v>16</v>
      </c>
      <c r="B83" s="388"/>
      <c r="C83" s="388"/>
      <c r="D83" s="389">
        <f>'Состав ВТК'!$B75</f>
        <v>0</v>
      </c>
      <c r="E83" s="388" t="str">
        <f>IFERROR(VLOOKUP($D83,'Состав ВТК'!$B$9:$I$108,8,FALSE),"-")</f>
        <v>-</v>
      </c>
      <c r="F83" s="376">
        <f t="shared" si="3"/>
        <v>0</v>
      </c>
      <c r="G83" s="666" t="str">
        <f>IFERROR(ROUND(IF('Состав ВТК'!$K75="Безвозмездно",0,IF('Состав ВТК'!N75="0,00",F83/'Состав ВТК'!R75,F83/'Состав ВТК'!N75)),2),"-")</f>
        <v>-</v>
      </c>
      <c r="H83" s="390" t="str">
        <f>IFERROR(IF($I83=справочник!$C$5,0.5-'Состав ВТК'!G75-G83,1.5-'Состав ВТК'!G75-G83),"-")</f>
        <v>-</v>
      </c>
      <c r="I83" s="562"/>
    </row>
    <row r="84" spans="1:9" s="143" customFormat="1" hidden="1" x14ac:dyDescent="0.25">
      <c r="A84" s="387" t="s">
        <v>16</v>
      </c>
      <c r="B84" s="388"/>
      <c r="C84" s="388"/>
      <c r="D84" s="389">
        <f>'Состав ВТК'!$B76</f>
        <v>0</v>
      </c>
      <c r="E84" s="388" t="str">
        <f>IFERROR(VLOOKUP($D84,'Состав ВТК'!$B$9:$I$108,8,FALSE),"-")</f>
        <v>-</v>
      </c>
      <c r="F84" s="376">
        <f t="shared" si="3"/>
        <v>0</v>
      </c>
      <c r="G84" s="666" t="str">
        <f>IFERROR(ROUND(IF('Состав ВТК'!$K76="Безвозмездно",0,IF('Состав ВТК'!N76="0,00",F84/'Состав ВТК'!R76,F84/'Состав ВТК'!N76)),2),"-")</f>
        <v>-</v>
      </c>
      <c r="H84" s="390" t="str">
        <f>IFERROR(IF($I84=справочник!$C$5,0.5-'Состав ВТК'!G76-G84,1.5-'Состав ВТК'!G76-G84),"-")</f>
        <v>-</v>
      </c>
      <c r="I84" s="562"/>
    </row>
    <row r="85" spans="1:9" s="143" customFormat="1" hidden="1" x14ac:dyDescent="0.25">
      <c r="A85" s="387" t="s">
        <v>16</v>
      </c>
      <c r="B85" s="388"/>
      <c r="C85" s="388"/>
      <c r="D85" s="389">
        <f>'Состав ВТК'!$B77</f>
        <v>0</v>
      </c>
      <c r="E85" s="388" t="str">
        <f>IFERROR(VLOOKUP($D85,'Состав ВТК'!$B$9:$I$108,8,FALSE),"-")</f>
        <v>-</v>
      </c>
      <c r="F85" s="376">
        <f t="shared" si="3"/>
        <v>0</v>
      </c>
      <c r="G85" s="666" t="str">
        <f>IFERROR(ROUND(IF('Состав ВТК'!$K77="Безвозмездно",0,IF('Состав ВТК'!N77="0,00",F85/'Состав ВТК'!R77,F85/'Состав ВТК'!N77)),2),"-")</f>
        <v>-</v>
      </c>
      <c r="H85" s="390" t="str">
        <f>IFERROR(IF($I85=справочник!$C$5,0.5-'Состав ВТК'!G77-G85,1.5-'Состав ВТК'!G77-G85),"-")</f>
        <v>-</v>
      </c>
      <c r="I85" s="562"/>
    </row>
    <row r="86" spans="1:9" s="143" customFormat="1" hidden="1" x14ac:dyDescent="0.25">
      <c r="A86" s="387" t="s">
        <v>16</v>
      </c>
      <c r="B86" s="388"/>
      <c r="C86" s="388"/>
      <c r="D86" s="389">
        <f>'Состав ВТК'!$B78</f>
        <v>0</v>
      </c>
      <c r="E86" s="388" t="str">
        <f>IFERROR(VLOOKUP($D86,'Состав ВТК'!$B$9:$I$108,8,FALSE),"-")</f>
        <v>-</v>
      </c>
      <c r="F86" s="376">
        <f t="shared" si="3"/>
        <v>0</v>
      </c>
      <c r="G86" s="666" t="str">
        <f>IFERROR(ROUND(IF('Состав ВТК'!$K78="Безвозмездно",0,IF('Состав ВТК'!N78="0,00",F86/'Состав ВТК'!R78,F86/'Состав ВТК'!N78)),2),"-")</f>
        <v>-</v>
      </c>
      <c r="H86" s="390" t="str">
        <f>IFERROR(IF($I86=справочник!$C$5,0.5-'Состав ВТК'!G78-G86,1.5-'Состав ВТК'!G78-G86),"-")</f>
        <v>-</v>
      </c>
      <c r="I86" s="562"/>
    </row>
    <row r="87" spans="1:9" s="143" customFormat="1" hidden="1" x14ac:dyDescent="0.25">
      <c r="A87" s="387" t="s">
        <v>16</v>
      </c>
      <c r="B87" s="388"/>
      <c r="C87" s="388"/>
      <c r="D87" s="389">
        <f>'Состав ВТК'!$B79</f>
        <v>0</v>
      </c>
      <c r="E87" s="388" t="str">
        <f>IFERROR(VLOOKUP($D87,'Состав ВТК'!$B$9:$I$108,8,FALSE),"-")</f>
        <v>-</v>
      </c>
      <c r="F87" s="376">
        <f t="shared" si="3"/>
        <v>0</v>
      </c>
      <c r="G87" s="666" t="str">
        <f>IFERROR(ROUND(IF('Состав ВТК'!$K79="Безвозмездно",0,IF('Состав ВТК'!N79="0,00",F87/'Состав ВТК'!R79,F87/'Состав ВТК'!N79)),2),"-")</f>
        <v>-</v>
      </c>
      <c r="H87" s="390" t="str">
        <f>IFERROR(IF($I87=справочник!$C$5,0.5-'Состав ВТК'!G79-G87,1.5-'Состав ВТК'!G79-G87),"-")</f>
        <v>-</v>
      </c>
      <c r="I87" s="562"/>
    </row>
    <row r="88" spans="1:9" s="143" customFormat="1" hidden="1" x14ac:dyDescent="0.25">
      <c r="A88" s="387" t="s">
        <v>16</v>
      </c>
      <c r="B88" s="388"/>
      <c r="C88" s="388"/>
      <c r="D88" s="389">
        <f>'Состав ВТК'!$B80</f>
        <v>0</v>
      </c>
      <c r="E88" s="388" t="str">
        <f>IFERROR(VLOOKUP($D88,'Состав ВТК'!$B$9:$I$108,8,FALSE),"-")</f>
        <v>-</v>
      </c>
      <c r="F88" s="376">
        <f t="shared" si="3"/>
        <v>0</v>
      </c>
      <c r="G88" s="666" t="str">
        <f>IFERROR(ROUND(IF('Состав ВТК'!$K80="Безвозмездно",0,IF('Состав ВТК'!N80="0,00",F88/'Состав ВТК'!R80,F88/'Состав ВТК'!N80)),2),"-")</f>
        <v>-</v>
      </c>
      <c r="H88" s="390" t="str">
        <f>IFERROR(IF($I88=справочник!$C$5,0.5-'Состав ВТК'!G80-G88,1.5-'Состав ВТК'!G80-G88),"-")</f>
        <v>-</v>
      </c>
      <c r="I88" s="562"/>
    </row>
    <row r="89" spans="1:9" s="143" customFormat="1" hidden="1" x14ac:dyDescent="0.25">
      <c r="A89" s="387" t="s">
        <v>16</v>
      </c>
      <c r="B89" s="388"/>
      <c r="C89" s="388"/>
      <c r="D89" s="389">
        <f>'Состав ВТК'!$B81</f>
        <v>0</v>
      </c>
      <c r="E89" s="388" t="str">
        <f>IFERROR(VLOOKUP($D89,'Состав ВТК'!$B$9:$I$108,8,FALSE),"-")</f>
        <v>-</v>
      </c>
      <c r="F89" s="376">
        <f t="shared" si="3"/>
        <v>0</v>
      </c>
      <c r="G89" s="666" t="str">
        <f>IFERROR(ROUND(IF('Состав ВТК'!$K81="Безвозмездно",0,IF('Состав ВТК'!N81="0,00",F89/'Состав ВТК'!R81,F89/'Состав ВТК'!N81)),2),"-")</f>
        <v>-</v>
      </c>
      <c r="H89" s="390" t="str">
        <f>IFERROR(IF($I89=справочник!$C$5,0.5-'Состав ВТК'!G81-G89,1.5-'Состав ВТК'!G81-G89),"-")</f>
        <v>-</v>
      </c>
      <c r="I89" s="562"/>
    </row>
    <row r="90" spans="1:9" s="143" customFormat="1" hidden="1" x14ac:dyDescent="0.25">
      <c r="A90" s="387" t="s">
        <v>16</v>
      </c>
      <c r="B90" s="388"/>
      <c r="C90" s="388"/>
      <c r="D90" s="389">
        <f>'Состав ВТК'!$B82</f>
        <v>0</v>
      </c>
      <c r="E90" s="388" t="str">
        <f>IFERROR(VLOOKUP($D90,'Состав ВТК'!$B$9:$I$108,8,FALSE),"-")</f>
        <v>-</v>
      </c>
      <c r="F90" s="376">
        <f t="shared" si="3"/>
        <v>0</v>
      </c>
      <c r="G90" s="666" t="str">
        <f>IFERROR(ROUND(IF('Состав ВТК'!$K82="Безвозмездно",0,IF('Состав ВТК'!N82="0,00",F90/'Состав ВТК'!R82,F90/'Состав ВТК'!N82)),2),"-")</f>
        <v>-</v>
      </c>
      <c r="H90" s="390" t="str">
        <f>IFERROR(IF($I90=справочник!$C$5,0.5-'Состав ВТК'!G82-G90,1.5-'Состав ВТК'!G82-G90),"-")</f>
        <v>-</v>
      </c>
      <c r="I90" s="562"/>
    </row>
    <row r="91" spans="1:9" s="143" customFormat="1" hidden="1" x14ac:dyDescent="0.25">
      <c r="A91" s="387" t="s">
        <v>16</v>
      </c>
      <c r="B91" s="388"/>
      <c r="C91" s="388"/>
      <c r="D91" s="389">
        <f>'Состав ВТК'!$B83</f>
        <v>0</v>
      </c>
      <c r="E91" s="388" t="str">
        <f>IFERROR(VLOOKUP($D91,'Состав ВТК'!$B$9:$I$108,8,FALSE),"-")</f>
        <v>-</v>
      </c>
      <c r="F91" s="376">
        <f t="shared" si="3"/>
        <v>0</v>
      </c>
      <c r="G91" s="666" t="str">
        <f>IFERROR(ROUND(IF('Состав ВТК'!$K83="Безвозмездно",0,IF('Состав ВТК'!N83="0,00",F91/'Состав ВТК'!R83,F91/'Состав ВТК'!N83)),2),"-")</f>
        <v>-</v>
      </c>
      <c r="H91" s="390" t="str">
        <f>IFERROR(IF($I91=справочник!$C$5,0.5-'Состав ВТК'!G83-G91,1.5-'Состав ВТК'!G83-G91),"-")</f>
        <v>-</v>
      </c>
      <c r="I91" s="562"/>
    </row>
    <row r="92" spans="1:9" s="143" customFormat="1" hidden="1" x14ac:dyDescent="0.25">
      <c r="A92" s="387" t="s">
        <v>16</v>
      </c>
      <c r="B92" s="388"/>
      <c r="C92" s="388"/>
      <c r="D92" s="389">
        <f>'Состав ВТК'!$B84</f>
        <v>0</v>
      </c>
      <c r="E92" s="388" t="str">
        <f>IFERROR(VLOOKUP($D92,'Состав ВТК'!$B$9:$I$108,8,FALSE),"-")</f>
        <v>-</v>
      </c>
      <c r="F92" s="376">
        <f t="shared" si="3"/>
        <v>0</v>
      </c>
      <c r="G92" s="666" t="str">
        <f>IFERROR(ROUND(IF('Состав ВТК'!$K84="Безвозмездно",0,IF('Состав ВТК'!N84="0,00",F92/'Состав ВТК'!R84,F92/'Состав ВТК'!N84)),2),"-")</f>
        <v>-</v>
      </c>
      <c r="H92" s="390" t="str">
        <f>IFERROR(IF($I92=справочник!$C$5,0.5-'Состав ВТК'!G84-G92,1.5-'Состав ВТК'!G84-G92),"-")</f>
        <v>-</v>
      </c>
      <c r="I92" s="562"/>
    </row>
    <row r="93" spans="1:9" s="143" customFormat="1" hidden="1" x14ac:dyDescent="0.25">
      <c r="A93" s="387" t="s">
        <v>16</v>
      </c>
      <c r="B93" s="388"/>
      <c r="C93" s="388"/>
      <c r="D93" s="389">
        <f>'Состав ВТК'!$B85</f>
        <v>0</v>
      </c>
      <c r="E93" s="388" t="str">
        <f>IFERROR(VLOOKUP($D93,'Состав ВТК'!$B$9:$I$108,8,FALSE),"-")</f>
        <v>-</v>
      </c>
      <c r="F93" s="376">
        <f t="shared" si="3"/>
        <v>0</v>
      </c>
      <c r="G93" s="666" t="str">
        <f>IFERROR(ROUND(IF('Состав ВТК'!$K85="Безвозмездно",0,IF('Состав ВТК'!N85="0,00",F93/'Состав ВТК'!R85,F93/'Состав ВТК'!N85)),2),"-")</f>
        <v>-</v>
      </c>
      <c r="H93" s="390" t="str">
        <f>IFERROR(IF($I93=справочник!$C$5,0.5-'Состав ВТК'!G85-G93,1.5-'Состав ВТК'!G85-G93),"-")</f>
        <v>-</v>
      </c>
      <c r="I93" s="562"/>
    </row>
    <row r="94" spans="1:9" s="143" customFormat="1" hidden="1" x14ac:dyDescent="0.25">
      <c r="A94" s="387" t="s">
        <v>16</v>
      </c>
      <c r="B94" s="388"/>
      <c r="C94" s="388"/>
      <c r="D94" s="389">
        <f>'Состав ВТК'!$B86</f>
        <v>0</v>
      </c>
      <c r="E94" s="388" t="str">
        <f>IFERROR(VLOOKUP($D94,'Состав ВТК'!$B$9:$I$108,8,FALSE),"-")</f>
        <v>-</v>
      </c>
      <c r="F94" s="376">
        <f t="shared" si="3"/>
        <v>0</v>
      </c>
      <c r="G94" s="666" t="str">
        <f>IFERROR(ROUND(IF('Состав ВТК'!$K86="Безвозмездно",0,IF('Состав ВТК'!N86="0,00",F94/'Состав ВТК'!R86,F94/'Состав ВТК'!N86)),2),"-")</f>
        <v>-</v>
      </c>
      <c r="H94" s="390" t="str">
        <f>IFERROR(IF($I94=справочник!$C$5,0.5-'Состав ВТК'!G86-G94,1.5-'Состав ВТК'!G86-G94),"-")</f>
        <v>-</v>
      </c>
      <c r="I94" s="562"/>
    </row>
    <row r="95" spans="1:9" s="143" customFormat="1" hidden="1" x14ac:dyDescent="0.25">
      <c r="A95" s="387" t="s">
        <v>16</v>
      </c>
      <c r="B95" s="388"/>
      <c r="C95" s="388"/>
      <c r="D95" s="389">
        <f>'Состав ВТК'!$B87</f>
        <v>0</v>
      </c>
      <c r="E95" s="388" t="str">
        <f>IFERROR(VLOOKUP($D95,'Состав ВТК'!$B$9:$I$108,8,FALSE),"-")</f>
        <v>-</v>
      </c>
      <c r="F95" s="376">
        <f t="shared" si="3"/>
        <v>0</v>
      </c>
      <c r="G95" s="666" t="str">
        <f>IFERROR(ROUND(IF('Состав ВТК'!$K87="Безвозмездно",0,IF('Состав ВТК'!N87="0,00",F95/'Состав ВТК'!R87,F95/'Состав ВТК'!N87)),2),"-")</f>
        <v>-</v>
      </c>
      <c r="H95" s="390" t="str">
        <f>IFERROR(IF($I95=справочник!$C$5,0.5-'Состав ВТК'!G87-G95,1.5-'Состав ВТК'!G87-G95),"-")</f>
        <v>-</v>
      </c>
      <c r="I95" s="562"/>
    </row>
    <row r="96" spans="1:9" s="143" customFormat="1" hidden="1" x14ac:dyDescent="0.25">
      <c r="A96" s="387" t="s">
        <v>16</v>
      </c>
      <c r="B96" s="388"/>
      <c r="C96" s="388"/>
      <c r="D96" s="389">
        <f>'Состав ВТК'!$B88</f>
        <v>0</v>
      </c>
      <c r="E96" s="388" t="str">
        <f>IFERROR(VLOOKUP($D96,'Состав ВТК'!$B$9:$I$108,8,FALSE),"-")</f>
        <v>-</v>
      </c>
      <c r="F96" s="376">
        <f t="shared" si="3"/>
        <v>0</v>
      </c>
      <c r="G96" s="666" t="str">
        <f>IFERROR(ROUND(IF('Состав ВТК'!$K88="Безвозмездно",0,IF('Состав ВТК'!N88="0,00",F96/'Состав ВТК'!R88,F96/'Состав ВТК'!N88)),2),"-")</f>
        <v>-</v>
      </c>
      <c r="H96" s="390" t="str">
        <f>IFERROR(IF($I96=справочник!$C$5,0.5-'Состав ВТК'!G88-G96,1.5-'Состав ВТК'!G88-G96),"-")</f>
        <v>-</v>
      </c>
      <c r="I96" s="562"/>
    </row>
    <row r="97" spans="1:9" s="143" customFormat="1" hidden="1" x14ac:dyDescent="0.25">
      <c r="A97" s="387" t="s">
        <v>16</v>
      </c>
      <c r="B97" s="388"/>
      <c r="C97" s="388"/>
      <c r="D97" s="389">
        <f>'Состав ВТК'!$B89</f>
        <v>0</v>
      </c>
      <c r="E97" s="388" t="str">
        <f>IFERROR(VLOOKUP($D97,'Состав ВТК'!$B$9:$I$108,8,FALSE),"-")</f>
        <v>-</v>
      </c>
      <c r="F97" s="376">
        <f t="shared" si="3"/>
        <v>0</v>
      </c>
      <c r="G97" s="666" t="str">
        <f>IFERROR(ROUND(IF('Состав ВТК'!$K89="Безвозмездно",0,IF('Состав ВТК'!N89="0,00",F97/'Состав ВТК'!R89,F97/'Состав ВТК'!N89)),2),"-")</f>
        <v>-</v>
      </c>
      <c r="H97" s="390" t="str">
        <f>IFERROR(IF($I97=справочник!$C$5,0.5-'Состав ВТК'!G89-G97,1.5-'Состав ВТК'!G89-G97),"-")</f>
        <v>-</v>
      </c>
      <c r="I97" s="562"/>
    </row>
    <row r="98" spans="1:9" s="143" customFormat="1" hidden="1" x14ac:dyDescent="0.25">
      <c r="A98" s="387" t="s">
        <v>16</v>
      </c>
      <c r="B98" s="388"/>
      <c r="C98" s="388"/>
      <c r="D98" s="389">
        <f>'Состав ВТК'!$B90</f>
        <v>0</v>
      </c>
      <c r="E98" s="388" t="str">
        <f>IFERROR(VLOOKUP($D98,'Состав ВТК'!$B$9:$I$108,8,FALSE),"-")</f>
        <v>-</v>
      </c>
      <c r="F98" s="376">
        <f t="shared" si="3"/>
        <v>0</v>
      </c>
      <c r="G98" s="666" t="str">
        <f>IFERROR(ROUND(IF('Состав ВТК'!$K90="Безвозмездно",0,IF('Состав ВТК'!N90="0,00",F98/'Состав ВТК'!R90,F98/'Состав ВТК'!N90)),2),"-")</f>
        <v>-</v>
      </c>
      <c r="H98" s="390" t="str">
        <f>IFERROR(IF($I98=справочник!$C$5,0.5-'Состав ВТК'!G90-G98,1.5-'Состав ВТК'!G90-G98),"-")</f>
        <v>-</v>
      </c>
      <c r="I98" s="562"/>
    </row>
    <row r="99" spans="1:9" s="143" customFormat="1" hidden="1" x14ac:dyDescent="0.25">
      <c r="A99" s="387" t="s">
        <v>16</v>
      </c>
      <c r="B99" s="388"/>
      <c r="C99" s="388"/>
      <c r="D99" s="389">
        <f>'Состав ВТК'!$B91</f>
        <v>0</v>
      </c>
      <c r="E99" s="388" t="str">
        <f>IFERROR(VLOOKUP($D99,'Состав ВТК'!$B$9:$I$108,8,FALSE),"-")</f>
        <v>-</v>
      </c>
      <c r="F99" s="376">
        <f t="shared" si="3"/>
        <v>0</v>
      </c>
      <c r="G99" s="666" t="str">
        <f>IFERROR(ROUND(IF('Состав ВТК'!$K91="Безвозмездно",0,IF('Состав ВТК'!N91="0,00",F99/'Состав ВТК'!R91,F99/'Состав ВТК'!N91)),2),"-")</f>
        <v>-</v>
      </c>
      <c r="H99" s="390" t="str">
        <f>IFERROR(IF($I99=справочник!$C$5,0.5-'Состав ВТК'!G91-G99,1.5-'Состав ВТК'!G91-G99),"-")</f>
        <v>-</v>
      </c>
      <c r="I99" s="562"/>
    </row>
    <row r="100" spans="1:9" s="143" customFormat="1" hidden="1" x14ac:dyDescent="0.25">
      <c r="A100" s="387" t="s">
        <v>16</v>
      </c>
      <c r="B100" s="388"/>
      <c r="C100" s="388"/>
      <c r="D100" s="389">
        <f>'Состав ВТК'!$B92</f>
        <v>0</v>
      </c>
      <c r="E100" s="388" t="str">
        <f>IFERROR(VLOOKUP($D100,'Состав ВТК'!$B$9:$I$108,8,FALSE),"-")</f>
        <v>-</v>
      </c>
      <c r="F100" s="376">
        <f t="shared" si="3"/>
        <v>0</v>
      </c>
      <c r="G100" s="666" t="str">
        <f>IFERROR(ROUND(IF('Состав ВТК'!$K92="Безвозмездно",0,IF('Состав ВТК'!N92="0,00",F100/'Состав ВТК'!R92,F100/'Состав ВТК'!N92)),2),"-")</f>
        <v>-</v>
      </c>
      <c r="H100" s="390" t="str">
        <f>IFERROR(IF($I100=справочник!$C$5,0.5-'Состав ВТК'!G92-G100,1.5-'Состав ВТК'!G92-G100),"-")</f>
        <v>-</v>
      </c>
      <c r="I100" s="562"/>
    </row>
    <row r="101" spans="1:9" s="143" customFormat="1" hidden="1" x14ac:dyDescent="0.25">
      <c r="A101" s="387" t="s">
        <v>16</v>
      </c>
      <c r="B101" s="388"/>
      <c r="C101" s="388"/>
      <c r="D101" s="389">
        <f>'Состав ВТК'!$B93</f>
        <v>0</v>
      </c>
      <c r="E101" s="388" t="str">
        <f>IFERROR(VLOOKUP($D101,'Состав ВТК'!$B$9:$I$108,8,FALSE),"-")</f>
        <v>-</v>
      </c>
      <c r="F101" s="376">
        <f t="shared" si="3"/>
        <v>0</v>
      </c>
      <c r="G101" s="666" t="str">
        <f>IFERROR(ROUND(IF('Состав ВТК'!$K93="Безвозмездно",0,IF('Состав ВТК'!N93="0,00",F101/'Состав ВТК'!R93,F101/'Состав ВТК'!N93)),2),"-")</f>
        <v>-</v>
      </c>
      <c r="H101" s="390" t="str">
        <f>IFERROR(IF($I101=справочник!$C$5,0.5-'Состав ВТК'!G93-G101,1.5-'Состав ВТК'!G93-G101),"-")</f>
        <v>-</v>
      </c>
      <c r="I101" s="562"/>
    </row>
    <row r="102" spans="1:9" s="143" customFormat="1" hidden="1" x14ac:dyDescent="0.25">
      <c r="A102" s="387" t="s">
        <v>16</v>
      </c>
      <c r="B102" s="388"/>
      <c r="C102" s="388"/>
      <c r="D102" s="389">
        <f>'Состав ВТК'!$B94</f>
        <v>0</v>
      </c>
      <c r="E102" s="388" t="str">
        <f>IFERROR(VLOOKUP($D102,'Состав ВТК'!$B$9:$I$108,8,FALSE),"-")</f>
        <v>-</v>
      </c>
      <c r="F102" s="376">
        <f t="shared" si="3"/>
        <v>0</v>
      </c>
      <c r="G102" s="666" t="str">
        <f>IFERROR(ROUND(IF('Состав ВТК'!$K94="Безвозмездно",0,IF('Состав ВТК'!N94="0,00",F102/'Состав ВТК'!R94,F102/'Состав ВТК'!N94)),2),"-")</f>
        <v>-</v>
      </c>
      <c r="H102" s="390" t="str">
        <f>IFERROR(IF($I102=справочник!$C$5,0.5-'Состав ВТК'!G94-G102,1.5-'Состав ВТК'!G94-G102),"-")</f>
        <v>-</v>
      </c>
      <c r="I102" s="562"/>
    </row>
    <row r="103" spans="1:9" s="143" customFormat="1" hidden="1" x14ac:dyDescent="0.25">
      <c r="A103" s="387" t="s">
        <v>16</v>
      </c>
      <c r="B103" s="388"/>
      <c r="C103" s="388"/>
      <c r="D103" s="389">
        <f>'Состав ВТК'!$B95</f>
        <v>0</v>
      </c>
      <c r="E103" s="388" t="str">
        <f>IFERROR(VLOOKUP($D103,'Состав ВТК'!$B$9:$I$108,8,FALSE),"-")</f>
        <v>-</v>
      </c>
      <c r="F103" s="376">
        <f t="shared" si="3"/>
        <v>0</v>
      </c>
      <c r="G103" s="666" t="str">
        <f>IFERROR(ROUND(IF('Состав ВТК'!$K95="Безвозмездно",0,IF('Состав ВТК'!N95="0,00",F103/'Состав ВТК'!R95,F103/'Состав ВТК'!N95)),2),"-")</f>
        <v>-</v>
      </c>
      <c r="H103" s="390" t="str">
        <f>IFERROR(IF($I103=справочник!$C$5,0.5-'Состав ВТК'!G95-G103,1.5-'Состав ВТК'!G95-G103),"-")</f>
        <v>-</v>
      </c>
      <c r="I103" s="562"/>
    </row>
    <row r="104" spans="1:9" s="143" customFormat="1" hidden="1" x14ac:dyDescent="0.25">
      <c r="A104" s="387" t="s">
        <v>16</v>
      </c>
      <c r="B104" s="388"/>
      <c r="C104" s="388"/>
      <c r="D104" s="389">
        <f>'Состав ВТК'!$B96</f>
        <v>0</v>
      </c>
      <c r="E104" s="388" t="str">
        <f>IFERROR(VLOOKUP($D104,'Состав ВТК'!$B$9:$I$108,8,FALSE),"-")</f>
        <v>-</v>
      </c>
      <c r="F104" s="376">
        <f t="shared" si="3"/>
        <v>0</v>
      </c>
      <c r="G104" s="666" t="str">
        <f>IFERROR(ROUND(IF('Состав ВТК'!$K96="Безвозмездно",0,IF('Состав ВТК'!N96="0,00",F104/'Состав ВТК'!R96,F104/'Состав ВТК'!N96)),2),"-")</f>
        <v>-</v>
      </c>
      <c r="H104" s="390" t="str">
        <f>IFERROR(IF($I104=справочник!$C$5,0.5-'Состав ВТК'!G96-G104,1.5-'Состав ВТК'!G96-G104),"-")</f>
        <v>-</v>
      </c>
      <c r="I104" s="562"/>
    </row>
    <row r="105" spans="1:9" s="143" customFormat="1" hidden="1" x14ac:dyDescent="0.25">
      <c r="A105" s="387" t="s">
        <v>16</v>
      </c>
      <c r="B105" s="388"/>
      <c r="C105" s="388"/>
      <c r="D105" s="389">
        <f>'Состав ВТК'!$B97</f>
        <v>0</v>
      </c>
      <c r="E105" s="388" t="str">
        <f>IFERROR(VLOOKUP($D105,'Состав ВТК'!$B$9:$I$108,8,FALSE),"-")</f>
        <v>-</v>
      </c>
      <c r="F105" s="376">
        <f t="shared" si="3"/>
        <v>0</v>
      </c>
      <c r="G105" s="666" t="str">
        <f>IFERROR(ROUND(IF('Состав ВТК'!$K97="Безвозмездно",0,IF('Состав ВТК'!N97="0,00",F105/'Состав ВТК'!R97,F105/'Состав ВТК'!N97)),2),"-")</f>
        <v>-</v>
      </c>
      <c r="H105" s="390" t="str">
        <f>IFERROR(IF($I105=справочник!$C$5,0.5-'Состав ВТК'!G97-G105,1.5-'Состав ВТК'!G97-G105),"-")</f>
        <v>-</v>
      </c>
      <c r="I105" s="562"/>
    </row>
    <row r="106" spans="1:9" s="143" customFormat="1" hidden="1" x14ac:dyDescent="0.25">
      <c r="A106" s="387" t="s">
        <v>16</v>
      </c>
      <c r="B106" s="388"/>
      <c r="C106" s="388"/>
      <c r="D106" s="389">
        <f>'Состав ВТК'!$B98</f>
        <v>0</v>
      </c>
      <c r="E106" s="388" t="str">
        <f>IFERROR(VLOOKUP($D106,'Состав ВТК'!$B$9:$I$108,8,FALSE),"-")</f>
        <v>-</v>
      </c>
      <c r="F106" s="376">
        <f t="shared" si="3"/>
        <v>0</v>
      </c>
      <c r="G106" s="666" t="str">
        <f>IFERROR(ROUND(IF('Состав ВТК'!$K98="Безвозмездно",0,IF('Состав ВТК'!N98="0,00",F106/'Состав ВТК'!R98,F106/'Состав ВТК'!N98)),2),"-")</f>
        <v>-</v>
      </c>
      <c r="H106" s="390" t="str">
        <f>IFERROR(IF($I106=справочник!$C$5,0.5-'Состав ВТК'!G98-G106,1.5-'Состав ВТК'!G98-G106),"-")</f>
        <v>-</v>
      </c>
      <c r="I106" s="562"/>
    </row>
    <row r="107" spans="1:9" s="143" customFormat="1" hidden="1" x14ac:dyDescent="0.25">
      <c r="A107" s="387" t="s">
        <v>16</v>
      </c>
      <c r="B107" s="388"/>
      <c r="C107" s="388"/>
      <c r="D107" s="389">
        <f>'Состав ВТК'!$B99</f>
        <v>0</v>
      </c>
      <c r="E107" s="388" t="str">
        <f>IFERROR(VLOOKUP($D107,'Состав ВТК'!$B$9:$I$108,8,FALSE),"-")</f>
        <v>-</v>
      </c>
      <c r="F107" s="376">
        <f t="shared" si="3"/>
        <v>0</v>
      </c>
      <c r="G107" s="666" t="str">
        <f>IFERROR(ROUND(IF('Состав ВТК'!$K99="Безвозмездно",0,IF('Состав ВТК'!N99="0,00",F107/'Состав ВТК'!R99,F107/'Состав ВТК'!N99)),2),"-")</f>
        <v>-</v>
      </c>
      <c r="H107" s="390" t="str">
        <f>IFERROR(IF($I107=справочник!$C$5,0.5-'Состав ВТК'!G99-G107,1.5-'Состав ВТК'!G99-G107),"-")</f>
        <v>-</v>
      </c>
      <c r="I107" s="562"/>
    </row>
    <row r="108" spans="1:9" s="143" customFormat="1" hidden="1" x14ac:dyDescent="0.25">
      <c r="A108" s="387" t="s">
        <v>16</v>
      </c>
      <c r="B108" s="388"/>
      <c r="C108" s="388"/>
      <c r="D108" s="389">
        <f>'Состав ВТК'!$B100</f>
        <v>0</v>
      </c>
      <c r="E108" s="388" t="str">
        <f>IFERROR(VLOOKUP($D108,'Состав ВТК'!$B$9:$I$108,8,FALSE),"-")</f>
        <v>-</v>
      </c>
      <c r="F108" s="376">
        <f t="shared" si="3"/>
        <v>0</v>
      </c>
      <c r="G108" s="666" t="str">
        <f>IFERROR(ROUND(IF('Состав ВТК'!$K100="Безвозмездно",0,IF('Состав ВТК'!N100="0,00",F108/'Состав ВТК'!R100,F108/'Состав ВТК'!N100)),2),"-")</f>
        <v>-</v>
      </c>
      <c r="H108" s="390" t="str">
        <f>IFERROR(IF($I108=справочник!$C$5,0.5-'Состав ВТК'!G100-G108,1.5-'Состав ВТК'!G100-G108),"-")</f>
        <v>-</v>
      </c>
      <c r="I108" s="562"/>
    </row>
    <row r="109" spans="1:9" s="143" customFormat="1" hidden="1" x14ac:dyDescent="0.25">
      <c r="A109" s="387" t="s">
        <v>16</v>
      </c>
      <c r="B109" s="388"/>
      <c r="C109" s="388"/>
      <c r="D109" s="389">
        <f>'Состав ВТК'!$B101</f>
        <v>0</v>
      </c>
      <c r="E109" s="388" t="str">
        <f>IFERROR(VLOOKUP($D109,'Состав ВТК'!$B$9:$I$108,8,FALSE),"-")</f>
        <v>-</v>
      </c>
      <c r="F109" s="376">
        <f t="shared" si="3"/>
        <v>0</v>
      </c>
      <c r="G109" s="666" t="str">
        <f>IFERROR(ROUND(IF('Состав ВТК'!$K101="Безвозмездно",0,IF('Состав ВТК'!N101="0,00",F109/'Состав ВТК'!R101,F109/'Состав ВТК'!N101)),2),"-")</f>
        <v>-</v>
      </c>
      <c r="H109" s="390" t="str">
        <f>IFERROR(IF($I109=справочник!$C$5,0.5-'Состав ВТК'!G101-G109,1.5-'Состав ВТК'!G101-G109),"-")</f>
        <v>-</v>
      </c>
      <c r="I109" s="562"/>
    </row>
    <row r="110" spans="1:9" s="143" customFormat="1" hidden="1" x14ac:dyDescent="0.25">
      <c r="A110" s="387" t="s">
        <v>16</v>
      </c>
      <c r="B110" s="388"/>
      <c r="C110" s="388"/>
      <c r="D110" s="389">
        <f>'Состав ВТК'!$B102</f>
        <v>0</v>
      </c>
      <c r="E110" s="388" t="str">
        <f>IFERROR(VLOOKUP($D110,'Состав ВТК'!$B$9:$I$108,8,FALSE),"-")</f>
        <v>-</v>
      </c>
      <c r="F110" s="376">
        <f t="shared" si="3"/>
        <v>0</v>
      </c>
      <c r="G110" s="666" t="str">
        <f>IFERROR(ROUND(IF('Состав ВТК'!$K102="Безвозмездно",0,IF('Состав ВТК'!N102="0,00",F110/'Состав ВТК'!R102,F110/'Состав ВТК'!N102)),2),"-")</f>
        <v>-</v>
      </c>
      <c r="H110" s="390" t="str">
        <f>IFERROR(IF($I110=справочник!$C$5,0.5-'Состав ВТК'!G102-G110,1.5-'Состав ВТК'!G102-G110),"-")</f>
        <v>-</v>
      </c>
      <c r="I110" s="562"/>
    </row>
    <row r="111" spans="1:9" s="143" customFormat="1" hidden="1" x14ac:dyDescent="0.25">
      <c r="A111" s="387" t="s">
        <v>16</v>
      </c>
      <c r="B111" s="388"/>
      <c r="C111" s="388"/>
      <c r="D111" s="389">
        <f>'Состав ВТК'!$B103</f>
        <v>0</v>
      </c>
      <c r="E111" s="388" t="str">
        <f>IFERROR(VLOOKUP($D111,'Состав ВТК'!$B$9:$I$108,8,FALSE),"-")</f>
        <v>-</v>
      </c>
      <c r="F111" s="376">
        <f t="shared" si="3"/>
        <v>0</v>
      </c>
      <c r="G111" s="666" t="str">
        <f>IFERROR(ROUND(IF('Состав ВТК'!$K103="Безвозмездно",0,IF('Состав ВТК'!N103="0,00",F111/'Состав ВТК'!R103,F111/'Состав ВТК'!N103)),2),"-")</f>
        <v>-</v>
      </c>
      <c r="H111" s="390" t="str">
        <f>IFERROR(IF($I111=справочник!$C$5,0.5-'Состав ВТК'!G103-G111,1.5-'Состав ВТК'!G103-G111),"-")</f>
        <v>-</v>
      </c>
      <c r="I111" s="562"/>
    </row>
    <row r="112" spans="1:9" s="143" customFormat="1" hidden="1" x14ac:dyDescent="0.25">
      <c r="A112" s="387" t="s">
        <v>16</v>
      </c>
      <c r="B112" s="388"/>
      <c r="C112" s="388"/>
      <c r="D112" s="389">
        <f>'Состав ВТК'!$B104</f>
        <v>0</v>
      </c>
      <c r="E112" s="388" t="str">
        <f>IFERROR(VLOOKUP($D112,'Состав ВТК'!$B$9:$I$108,8,FALSE),"-")</f>
        <v>-</v>
      </c>
      <c r="F112" s="376">
        <f t="shared" si="3"/>
        <v>0</v>
      </c>
      <c r="G112" s="666" t="str">
        <f>IFERROR(ROUND(IF('Состав ВТК'!$K104="Безвозмездно",0,IF('Состав ВТК'!N104="0,00",F112/'Состав ВТК'!R104,F112/'Состав ВТК'!N104)),2),"-")</f>
        <v>-</v>
      </c>
      <c r="H112" s="390" t="str">
        <f>IFERROR(IF($I112=справочник!$C$5,0.5-'Состав ВТК'!G104-G112,1.5-'Состав ВТК'!G104-G112),"-")</f>
        <v>-</v>
      </c>
      <c r="I112" s="562"/>
    </row>
    <row r="113" spans="1:11" s="143" customFormat="1" hidden="1" x14ac:dyDescent="0.25">
      <c r="A113" s="387" t="s">
        <v>16</v>
      </c>
      <c r="B113" s="388"/>
      <c r="C113" s="388"/>
      <c r="D113" s="389">
        <f>'Состав ВТК'!$B105</f>
        <v>0</v>
      </c>
      <c r="E113" s="388" t="str">
        <f>IFERROR(VLOOKUP($D113,'Состав ВТК'!$B$9:$I$108,8,FALSE),"-")</f>
        <v>-</v>
      </c>
      <c r="F113" s="376">
        <f t="shared" si="3"/>
        <v>0</v>
      </c>
      <c r="G113" s="666" t="str">
        <f>IFERROR(ROUND(IF('Состав ВТК'!$K105="Безвозмездно",0,IF('Состав ВТК'!N105="0,00",F113/'Состав ВТК'!R105,F113/'Состав ВТК'!N105)),2),"-")</f>
        <v>-</v>
      </c>
      <c r="H113" s="390" t="str">
        <f>IFERROR(IF($I113=справочник!$C$5,0.5-'Состав ВТК'!G105-G113,1.5-'Состав ВТК'!G105-G113),"-")</f>
        <v>-</v>
      </c>
      <c r="I113" s="562"/>
    </row>
    <row r="114" spans="1:11" s="143" customFormat="1" hidden="1" x14ac:dyDescent="0.25">
      <c r="A114" s="387" t="s">
        <v>16</v>
      </c>
      <c r="B114" s="388"/>
      <c r="C114" s="388"/>
      <c r="D114" s="389">
        <f>'Состав ВТК'!$B106</f>
        <v>0</v>
      </c>
      <c r="E114" s="388" t="str">
        <f>IFERROR(VLOOKUP($D114,'Состав ВТК'!$B$9:$I$108,8,FALSE),"-")</f>
        <v>-</v>
      </c>
      <c r="F114" s="376">
        <f t="shared" si="3"/>
        <v>0</v>
      </c>
      <c r="G114" s="666" t="str">
        <f>IFERROR(ROUND(IF('Состав ВТК'!$K106="Безвозмездно",0,IF('Состав ВТК'!N106="0,00",F114/'Состав ВТК'!R106,F114/'Состав ВТК'!N106)),2),"-")</f>
        <v>-</v>
      </c>
      <c r="H114" s="390" t="str">
        <f>IFERROR(IF($I114=справочник!$C$5,0.5-'Состав ВТК'!G106-G114,1.5-'Состав ВТК'!G106-G114),"-")</f>
        <v>-</v>
      </c>
      <c r="I114" s="562">
        <f>'Состав ВТК'!J29</f>
        <v>0</v>
      </c>
    </row>
    <row r="115" spans="1:11" s="143" customFormat="1" hidden="1" x14ac:dyDescent="0.25">
      <c r="A115" s="148" t="s">
        <v>16</v>
      </c>
      <c r="B115" s="146"/>
      <c r="C115" s="146"/>
      <c r="D115" s="145">
        <f>'Состав ВТК'!$B107</f>
        <v>0</v>
      </c>
      <c r="E115" s="146" t="str">
        <f>IFERROR(VLOOKUP($D115,'Состав ВТК'!$B$9:$I$108,8,FALSE),"-")</f>
        <v>-</v>
      </c>
      <c r="F115" s="144">
        <f t="shared" si="3"/>
        <v>0</v>
      </c>
      <c r="G115" s="667" t="str">
        <f>IFERROR(ROUND(IF('Состав ВТК'!$K107="Безвозмездно",0,IF('Состав ВТК'!N107="0,00",F115/'Состав ВТК'!R107,F115/'Состав ВТК'!N107)),2),"-")</f>
        <v>-</v>
      </c>
      <c r="H115" s="147" t="str">
        <f>IFERROR(IF($I115=справочник!$C$5,0.5-'Состав ВТК'!G107-G115,1.5-'Состав ВТК'!G107-G115),"-")</f>
        <v>-</v>
      </c>
      <c r="I115" s="562">
        <f>'Состав ВТК'!J30</f>
        <v>0</v>
      </c>
    </row>
    <row r="116" spans="1:11" s="143" customFormat="1" hidden="1" x14ac:dyDescent="0.25">
      <c r="A116" s="148" t="s">
        <v>16</v>
      </c>
      <c r="B116" s="146"/>
      <c r="C116" s="146"/>
      <c r="D116" s="145">
        <f>'Состав ВТК'!$B108</f>
        <v>0</v>
      </c>
      <c r="E116" s="146" t="str">
        <f>IFERROR(VLOOKUP($D116,'Состав ВТК'!$B$9:$I$108,8,FALSE),"-")</f>
        <v>-</v>
      </c>
      <c r="F116" s="144">
        <f t="shared" si="3"/>
        <v>0</v>
      </c>
      <c r="G116" s="667" t="str">
        <f>IFERROR(ROUND(IF('Состав ВТК'!$K108="Безвозмездно",0,IF('Состав ВТК'!N108="0,00",F116/'Состав ВТК'!R108,F116/'Состав ВТК'!N108)),2),"-")</f>
        <v>-</v>
      </c>
      <c r="H116" s="147" t="str">
        <f>IFERROR(IF($I116=справочник!$C$5,0.5-'Состав ВТК'!G108-G116,1.5-'Состав ВТК'!G108-G116),"-")</f>
        <v>-</v>
      </c>
    </row>
    <row r="117" spans="1:11" x14ac:dyDescent="0.25">
      <c r="A117" s="547"/>
      <c r="B117" s="386"/>
      <c r="C117" s="386"/>
      <c r="D117" s="386"/>
      <c r="E117" s="386"/>
      <c r="F117" s="386"/>
      <c r="G117" s="386"/>
      <c r="H117" s="386"/>
      <c r="I117" s="544"/>
      <c r="J117" s="393"/>
      <c r="K117" s="356"/>
    </row>
    <row r="118" spans="1:11" x14ac:dyDescent="0.25">
      <c r="A118" s="387" t="s">
        <v>222</v>
      </c>
      <c r="B118" s="389">
        <f>Работы!B12</f>
        <v>0</v>
      </c>
      <c r="C118" s="389"/>
      <c r="D118" s="388"/>
      <c r="E118" s="388"/>
      <c r="F118" s="376">
        <f>IFERROR(INDEX(Работы!$1:$1048576,MATCH($B118,Работы!$B:$B,0),MATCH($F$14,Работы!$8:$8,0)),"---")</f>
        <v>0</v>
      </c>
      <c r="G118" s="390"/>
      <c r="H118" s="390"/>
      <c r="K118" s="356"/>
    </row>
    <row r="119" spans="1:11" x14ac:dyDescent="0.25">
      <c r="A119" s="387" t="s">
        <v>222</v>
      </c>
      <c r="B119" s="389">
        <f>Работы!B13</f>
        <v>0</v>
      </c>
      <c r="C119" s="389"/>
      <c r="D119" s="388"/>
      <c r="E119" s="388"/>
      <c r="F119" s="376">
        <f>IFERROR(INDEX(Работы!$1:$1048576,MATCH($B119,Работы!$B:$B,0),MATCH($F$14,Работы!$8:$8,0)),"---")</f>
        <v>0</v>
      </c>
      <c r="G119" s="390"/>
      <c r="H119" s="390"/>
      <c r="K119" s="356"/>
    </row>
    <row r="120" spans="1:11" x14ac:dyDescent="0.25">
      <c r="A120" s="387" t="s">
        <v>222</v>
      </c>
      <c r="B120" s="389">
        <f>Работы!B14</f>
        <v>0</v>
      </c>
      <c r="C120" s="389"/>
      <c r="D120" s="388"/>
      <c r="E120" s="388"/>
      <c r="F120" s="376">
        <f>IFERROR(INDEX(Работы!$1:$1048576,MATCH($B120,Работы!$B:$B,0),MATCH($F$14,Работы!$8:$8,0)),"---")</f>
        <v>0</v>
      </c>
      <c r="G120" s="390"/>
      <c r="H120" s="390"/>
      <c r="K120" s="356"/>
    </row>
    <row r="121" spans="1:11" x14ac:dyDescent="0.25">
      <c r="A121" s="387" t="s">
        <v>222</v>
      </c>
      <c r="B121" s="389">
        <f>Работы!B15</f>
        <v>0</v>
      </c>
      <c r="C121" s="389"/>
      <c r="D121" s="388"/>
      <c r="E121" s="388"/>
      <c r="F121" s="376">
        <f>IFERROR(INDEX(Работы!$1:$1048576,MATCH($B121,Работы!$B:$B,0),MATCH($F$14,Работы!$8:$8,0)),"---")</f>
        <v>0</v>
      </c>
      <c r="G121" s="390"/>
      <c r="H121" s="390"/>
      <c r="K121" s="356"/>
    </row>
    <row r="122" spans="1:11" x14ac:dyDescent="0.25">
      <c r="A122" s="387" t="s">
        <v>222</v>
      </c>
      <c r="B122" s="389">
        <f>Работы!B16</f>
        <v>0</v>
      </c>
      <c r="C122" s="389"/>
      <c r="D122" s="388"/>
      <c r="E122" s="388"/>
      <c r="F122" s="376">
        <f>IFERROR(INDEX(Работы!$1:$1048576,MATCH($B122,Работы!$B:$B,0),MATCH($F$14,Работы!$8:$8,0)),"---")</f>
        <v>0</v>
      </c>
      <c r="G122" s="390"/>
      <c r="H122" s="390"/>
      <c r="K122" s="356"/>
    </row>
    <row r="123" spans="1:11" x14ac:dyDescent="0.25">
      <c r="A123" s="387" t="s">
        <v>222</v>
      </c>
      <c r="B123" s="389">
        <f>Работы!B17</f>
        <v>0</v>
      </c>
      <c r="C123" s="389"/>
      <c r="D123" s="388"/>
      <c r="E123" s="388"/>
      <c r="F123" s="376">
        <f>IFERROR(INDEX(Работы!$1:$1048576,MATCH($B123,Работы!$B:$B,0),MATCH($F$14,Работы!$8:$8,0)),"---")</f>
        <v>0</v>
      </c>
      <c r="G123" s="390"/>
      <c r="H123" s="390"/>
      <c r="K123" s="356"/>
    </row>
    <row r="124" spans="1:11" hidden="1" x14ac:dyDescent="0.25">
      <c r="A124" s="387" t="s">
        <v>222</v>
      </c>
      <c r="B124" s="389">
        <f>Работы!B18</f>
        <v>0</v>
      </c>
      <c r="C124" s="389"/>
      <c r="D124" s="388"/>
      <c r="E124" s="388"/>
      <c r="F124" s="376">
        <f>IFERROR(INDEX(Работы!$1:$1048576,MATCH($B124,Работы!$B:$B,0),MATCH($F$14,Работы!$8:$8,0)),"---")</f>
        <v>0</v>
      </c>
      <c r="G124" s="390"/>
      <c r="H124" s="390"/>
      <c r="K124" s="356"/>
    </row>
    <row r="125" spans="1:11" hidden="1" x14ac:dyDescent="0.25">
      <c r="A125" s="387" t="s">
        <v>222</v>
      </c>
      <c r="B125" s="389">
        <f>Работы!B19</f>
        <v>0</v>
      </c>
      <c r="C125" s="389"/>
      <c r="D125" s="388"/>
      <c r="E125" s="388"/>
      <c r="F125" s="376">
        <f>IFERROR(INDEX(Работы!$1:$1048576,MATCH($B125,Работы!$B:$B,0),MATCH($F$14,Работы!$8:$8,0)),"---")</f>
        <v>0</v>
      </c>
      <c r="G125" s="390"/>
      <c r="H125" s="390"/>
      <c r="K125" s="356"/>
    </row>
    <row r="126" spans="1:11" hidden="1" x14ac:dyDescent="0.25">
      <c r="A126" s="387" t="s">
        <v>222</v>
      </c>
      <c r="B126" s="389">
        <f>Работы!B20</f>
        <v>0</v>
      </c>
      <c r="C126" s="389"/>
      <c r="D126" s="388"/>
      <c r="E126" s="388"/>
      <c r="F126" s="376">
        <f>IFERROR(INDEX(Работы!$1:$1048576,MATCH($B126,Работы!$B:$B,0),MATCH($F$14,Работы!$8:$8,0)),"---")</f>
        <v>0</v>
      </c>
      <c r="G126" s="390"/>
      <c r="H126" s="390"/>
      <c r="K126" s="356"/>
    </row>
    <row r="127" spans="1:11" hidden="1" x14ac:dyDescent="0.25">
      <c r="A127" s="387" t="s">
        <v>222</v>
      </c>
      <c r="B127" s="389">
        <f>Работы!B21</f>
        <v>0</v>
      </c>
      <c r="C127" s="389"/>
      <c r="D127" s="388"/>
      <c r="E127" s="388"/>
      <c r="F127" s="376">
        <f>IFERROR(INDEX(Работы!$1:$1048576,MATCH($B127,Работы!$B:$B,0),MATCH($F$14,Работы!$8:$8,0)),"---")</f>
        <v>0</v>
      </c>
      <c r="G127" s="390"/>
      <c r="H127" s="390"/>
      <c r="K127" s="356"/>
    </row>
    <row r="128" spans="1:11" hidden="1" x14ac:dyDescent="0.25">
      <c r="A128" s="387" t="s">
        <v>222</v>
      </c>
      <c r="B128" s="389">
        <f>Работы!B22</f>
        <v>0</v>
      </c>
      <c r="C128" s="389"/>
      <c r="D128" s="388"/>
      <c r="E128" s="388"/>
      <c r="F128" s="376">
        <f>IFERROR(INDEX(Работы!$1:$1048576,MATCH($B128,Работы!$B:$B,0),MATCH($F$14,Работы!$8:$8,0)),"---")</f>
        <v>0</v>
      </c>
      <c r="G128" s="390"/>
      <c r="H128" s="390"/>
      <c r="K128" s="356"/>
    </row>
    <row r="129" spans="1:11" hidden="1" x14ac:dyDescent="0.25">
      <c r="A129" s="387" t="s">
        <v>222</v>
      </c>
      <c r="B129" s="389">
        <f>Работы!B23</f>
        <v>0</v>
      </c>
      <c r="C129" s="389"/>
      <c r="D129" s="388"/>
      <c r="E129" s="388"/>
      <c r="F129" s="376">
        <f>IFERROR(INDEX(Работы!$1:$1048576,MATCH($B129,Работы!$B:$B,0),MATCH($F$14,Работы!$8:$8,0)),"---")</f>
        <v>0</v>
      </c>
      <c r="G129" s="390"/>
      <c r="H129" s="390"/>
      <c r="K129" s="356"/>
    </row>
    <row r="130" spans="1:11" hidden="1" x14ac:dyDescent="0.25">
      <c r="A130" s="387" t="s">
        <v>222</v>
      </c>
      <c r="B130" s="389">
        <f>Работы!B24</f>
        <v>0</v>
      </c>
      <c r="C130" s="389"/>
      <c r="D130" s="388"/>
      <c r="E130" s="388"/>
      <c r="F130" s="376">
        <f>IFERROR(INDEX(Работы!$1:$1048576,MATCH($B130,Работы!$B:$B,0),MATCH($F$14,Работы!$8:$8,0)),"---")</f>
        <v>0</v>
      </c>
      <c r="G130" s="390"/>
      <c r="H130" s="390"/>
      <c r="K130" s="356"/>
    </row>
    <row r="131" spans="1:11" hidden="1" x14ac:dyDescent="0.25">
      <c r="A131" s="387" t="s">
        <v>222</v>
      </c>
      <c r="B131" s="389">
        <f>Работы!B25</f>
        <v>0</v>
      </c>
      <c r="C131" s="389"/>
      <c r="D131" s="388"/>
      <c r="E131" s="388"/>
      <c r="F131" s="376">
        <f>IFERROR(INDEX(Работы!$1:$1048576,MATCH($B131,Работы!$B:$B,0),MATCH($F$14,Работы!$8:$8,0)),"---")</f>
        <v>0</v>
      </c>
      <c r="G131" s="390"/>
      <c r="H131" s="390"/>
      <c r="K131" s="356"/>
    </row>
    <row r="132" spans="1:11" hidden="1" x14ac:dyDescent="0.25">
      <c r="A132" s="387" t="s">
        <v>222</v>
      </c>
      <c r="B132" s="389">
        <f>Работы!B26</f>
        <v>0</v>
      </c>
      <c r="C132" s="389"/>
      <c r="D132" s="388"/>
      <c r="E132" s="388"/>
      <c r="F132" s="376">
        <f>IFERROR(INDEX(Работы!$1:$1048576,MATCH($B132,Работы!$B:$B,0),MATCH($F$14,Работы!$8:$8,0)),"---")</f>
        <v>0</v>
      </c>
      <c r="G132" s="390"/>
      <c r="H132" s="390"/>
      <c r="K132" s="356"/>
    </row>
    <row r="133" spans="1:11" hidden="1" x14ac:dyDescent="0.25">
      <c r="A133" s="387" t="s">
        <v>222</v>
      </c>
      <c r="B133" s="389">
        <f>Работы!B27</f>
        <v>0</v>
      </c>
      <c r="C133" s="389"/>
      <c r="D133" s="388"/>
      <c r="E133" s="388"/>
      <c r="F133" s="376">
        <f>IFERROR(INDEX(Работы!$1:$1048576,MATCH($B133,Работы!$B:$B,0),MATCH($F$14,Работы!$8:$8,0)),"---")</f>
        <v>0</v>
      </c>
      <c r="G133" s="390"/>
      <c r="H133" s="390"/>
      <c r="K133" s="356"/>
    </row>
    <row r="134" spans="1:11" hidden="1" x14ac:dyDescent="0.25">
      <c r="A134" s="387" t="s">
        <v>222</v>
      </c>
      <c r="B134" s="389">
        <f>Работы!B28</f>
        <v>0</v>
      </c>
      <c r="C134" s="389"/>
      <c r="D134" s="388"/>
      <c r="E134" s="388"/>
      <c r="F134" s="376">
        <f>IFERROR(INDEX(Работы!$1:$1048576,MATCH($B134,Работы!$B:$B,0),MATCH($F$14,Работы!$8:$8,0)),"---")</f>
        <v>0</v>
      </c>
      <c r="G134" s="390"/>
      <c r="H134" s="390"/>
      <c r="K134" s="356"/>
    </row>
    <row r="135" spans="1:11" hidden="1" x14ac:dyDescent="0.25">
      <c r="A135" s="387" t="s">
        <v>222</v>
      </c>
      <c r="B135" s="389">
        <f>Работы!B29</f>
        <v>0</v>
      </c>
      <c r="C135" s="389"/>
      <c r="D135" s="388"/>
      <c r="E135" s="388"/>
      <c r="F135" s="376">
        <f>IFERROR(INDEX(Работы!$1:$1048576,MATCH($B135,Работы!$B:$B,0),MATCH($F$14,Работы!$8:$8,0)),"---")</f>
        <v>0</v>
      </c>
      <c r="G135" s="390"/>
      <c r="H135" s="390"/>
      <c r="K135" s="356"/>
    </row>
    <row r="136" spans="1:11" hidden="1" x14ac:dyDescent="0.25">
      <c r="A136" s="387" t="s">
        <v>222</v>
      </c>
      <c r="B136" s="389">
        <f>Работы!B30</f>
        <v>0</v>
      </c>
      <c r="C136" s="389"/>
      <c r="D136" s="388"/>
      <c r="E136" s="388"/>
      <c r="F136" s="376">
        <f>IFERROR(INDEX(Работы!$1:$1048576,MATCH($B136,Работы!$B:$B,0),MATCH($F$14,Работы!$8:$8,0)),"---")</f>
        <v>0</v>
      </c>
      <c r="G136" s="390"/>
      <c r="H136" s="390"/>
      <c r="K136" s="356"/>
    </row>
    <row r="137" spans="1:11" hidden="1" x14ac:dyDescent="0.25">
      <c r="A137" s="387" t="s">
        <v>222</v>
      </c>
      <c r="B137" s="389">
        <f>Работы!B31</f>
        <v>0</v>
      </c>
      <c r="C137" s="389"/>
      <c r="D137" s="388"/>
      <c r="E137" s="388"/>
      <c r="F137" s="376">
        <f>IFERROR(INDEX(Работы!$1:$1048576,MATCH($B137,Работы!$B:$B,0),MATCH($F$14,Работы!$8:$8,0)),"---")</f>
        <v>0</v>
      </c>
      <c r="G137" s="390"/>
      <c r="H137" s="390"/>
      <c r="K137" s="356"/>
    </row>
    <row r="138" spans="1:11" hidden="1" x14ac:dyDescent="0.25">
      <c r="A138" s="387" t="s">
        <v>222</v>
      </c>
      <c r="B138" s="389">
        <f>Работы!B32</f>
        <v>0</v>
      </c>
      <c r="C138" s="389"/>
      <c r="D138" s="388"/>
      <c r="E138" s="388"/>
      <c r="F138" s="376">
        <f>IFERROR(INDEX(Работы!$1:$1048576,MATCH($B138,Работы!$B:$B,0),MATCH($F$14,Работы!$8:$8,0)),"---")</f>
        <v>0</v>
      </c>
      <c r="G138" s="390"/>
      <c r="H138" s="390"/>
      <c r="K138" s="356"/>
    </row>
    <row r="139" spans="1:11" hidden="1" x14ac:dyDescent="0.25">
      <c r="A139" s="387" t="s">
        <v>222</v>
      </c>
      <c r="B139" s="389">
        <f>Работы!B33</f>
        <v>0</v>
      </c>
      <c r="C139" s="389"/>
      <c r="D139" s="388"/>
      <c r="E139" s="388"/>
      <c r="F139" s="376">
        <f>IFERROR(INDEX(Работы!$1:$1048576,MATCH($B139,Работы!$B:$B,0),MATCH($F$14,Работы!$8:$8,0)),"---")</f>
        <v>0</v>
      </c>
      <c r="G139" s="390"/>
      <c r="H139" s="390"/>
      <c r="K139" s="356"/>
    </row>
    <row r="140" spans="1:11" hidden="1" x14ac:dyDescent="0.25">
      <c r="A140" s="387" t="s">
        <v>222</v>
      </c>
      <c r="B140" s="389">
        <f>Работы!B34</f>
        <v>0</v>
      </c>
      <c r="C140" s="389"/>
      <c r="D140" s="388"/>
      <c r="E140" s="388"/>
      <c r="F140" s="376">
        <f>IFERROR(INDEX(Работы!$1:$1048576,MATCH($B140,Работы!$B:$B,0),MATCH($F$14,Работы!$8:$8,0)),"---")</f>
        <v>0</v>
      </c>
      <c r="G140" s="390"/>
      <c r="H140" s="390"/>
      <c r="K140" s="356"/>
    </row>
    <row r="141" spans="1:11" hidden="1" x14ac:dyDescent="0.25">
      <c r="A141" s="387" t="s">
        <v>222</v>
      </c>
      <c r="B141" s="389">
        <f>Работы!B35</f>
        <v>0</v>
      </c>
      <c r="C141" s="389"/>
      <c r="D141" s="388"/>
      <c r="E141" s="388"/>
      <c r="F141" s="376">
        <f>IFERROR(INDEX(Работы!$1:$1048576,MATCH($B141,Работы!$B:$B,0),MATCH($F$14,Работы!$8:$8,0)),"---")</f>
        <v>0</v>
      </c>
      <c r="G141" s="390"/>
      <c r="H141" s="390"/>
      <c r="K141" s="356"/>
    </row>
    <row r="142" spans="1:11" hidden="1" x14ac:dyDescent="0.25">
      <c r="A142" s="387" t="s">
        <v>222</v>
      </c>
      <c r="B142" s="389">
        <f>Работы!B36</f>
        <v>0</v>
      </c>
      <c r="C142" s="389"/>
      <c r="D142" s="388"/>
      <c r="E142" s="388"/>
      <c r="F142" s="376">
        <f>IFERROR(INDEX(Работы!$1:$1048576,MATCH($B142,Работы!$B:$B,0),MATCH($F$14,Работы!$8:$8,0)),"---")</f>
        <v>0</v>
      </c>
      <c r="G142" s="390"/>
      <c r="H142" s="390"/>
      <c r="K142" s="356"/>
    </row>
    <row r="143" spans="1:11" hidden="1" x14ac:dyDescent="0.25">
      <c r="A143" s="387" t="s">
        <v>222</v>
      </c>
      <c r="B143" s="389">
        <f>Работы!B37</f>
        <v>0</v>
      </c>
      <c r="C143" s="389"/>
      <c r="D143" s="388"/>
      <c r="E143" s="388"/>
      <c r="F143" s="376">
        <f>IFERROR(INDEX(Работы!$1:$1048576,MATCH($B143,Работы!$B:$B,0),MATCH($F$14,Работы!$8:$8,0)),"---")</f>
        <v>0</v>
      </c>
      <c r="G143" s="390"/>
      <c r="H143" s="390"/>
      <c r="K143" s="356"/>
    </row>
    <row r="144" spans="1:11" hidden="1" x14ac:dyDescent="0.25">
      <c r="A144" s="387" t="s">
        <v>222</v>
      </c>
      <c r="B144" s="389">
        <f>Работы!B38</f>
        <v>0</v>
      </c>
      <c r="C144" s="389"/>
      <c r="D144" s="388"/>
      <c r="E144" s="388"/>
      <c r="F144" s="376">
        <f>IFERROR(INDEX(Работы!$1:$1048576,MATCH($B144,Работы!$B:$B,0),MATCH($F$14,Работы!$8:$8,0)),"---")</f>
        <v>0</v>
      </c>
      <c r="G144" s="390"/>
      <c r="H144" s="390"/>
      <c r="K144" s="356"/>
    </row>
    <row r="145" spans="1:11" hidden="1" x14ac:dyDescent="0.25">
      <c r="A145" s="387" t="s">
        <v>222</v>
      </c>
      <c r="B145" s="389">
        <f>Работы!B39</f>
        <v>0</v>
      </c>
      <c r="C145" s="389"/>
      <c r="D145" s="388"/>
      <c r="E145" s="388"/>
      <c r="F145" s="376">
        <f>IFERROR(INDEX(Работы!$1:$1048576,MATCH($B145,Работы!$B:$B,0),MATCH($F$14,Работы!$8:$8,0)),"---")</f>
        <v>0</v>
      </c>
      <c r="G145" s="390"/>
      <c r="H145" s="390"/>
      <c r="K145" s="356"/>
    </row>
    <row r="146" spans="1:11" hidden="1" x14ac:dyDescent="0.25">
      <c r="A146" s="387" t="s">
        <v>222</v>
      </c>
      <c r="B146" s="389">
        <f>Работы!B40</f>
        <v>0</v>
      </c>
      <c r="C146" s="389"/>
      <c r="D146" s="388"/>
      <c r="E146" s="388"/>
      <c r="F146" s="376">
        <f>IFERROR(INDEX(Работы!$1:$1048576,MATCH($B146,Работы!$B:$B,0),MATCH($F$14,Работы!$8:$8,0)),"---")</f>
        <v>0</v>
      </c>
      <c r="G146" s="390"/>
      <c r="H146" s="390"/>
      <c r="K146" s="356"/>
    </row>
    <row r="147" spans="1:11" hidden="1" x14ac:dyDescent="0.25">
      <c r="A147" s="387" t="s">
        <v>222</v>
      </c>
      <c r="B147" s="389">
        <f>Работы!B41</f>
        <v>0</v>
      </c>
      <c r="C147" s="389"/>
      <c r="D147" s="388"/>
      <c r="E147" s="388"/>
      <c r="F147" s="376">
        <f>IFERROR(INDEX(Работы!$1:$1048576,MATCH($B147,Работы!$B:$B,0),MATCH($F$14,Работы!$8:$8,0)),"---")</f>
        <v>0</v>
      </c>
      <c r="G147" s="390"/>
      <c r="H147" s="390"/>
      <c r="K147" s="356"/>
    </row>
    <row r="148" spans="1:11" hidden="1" x14ac:dyDescent="0.25">
      <c r="A148" s="387" t="s">
        <v>222</v>
      </c>
      <c r="B148" s="389">
        <f>Работы!B42</f>
        <v>0</v>
      </c>
      <c r="C148" s="389"/>
      <c r="D148" s="388"/>
      <c r="E148" s="388"/>
      <c r="F148" s="376">
        <f>IFERROR(INDEX(Работы!$1:$1048576,MATCH($B148,Работы!$B:$B,0),MATCH($F$14,Работы!$8:$8,0)),"---")</f>
        <v>0</v>
      </c>
      <c r="G148" s="390"/>
      <c r="H148" s="390"/>
      <c r="K148" s="356"/>
    </row>
    <row r="149" spans="1:11" hidden="1" x14ac:dyDescent="0.25">
      <c r="A149" s="387" t="s">
        <v>222</v>
      </c>
      <c r="B149" s="389">
        <f>Работы!B43</f>
        <v>0</v>
      </c>
      <c r="C149" s="389"/>
      <c r="D149" s="388"/>
      <c r="E149" s="388"/>
      <c r="F149" s="376">
        <f>IFERROR(INDEX(Работы!$1:$1048576,MATCH($B149,Работы!$B:$B,0),MATCH($F$14,Работы!$8:$8,0)),"---")</f>
        <v>0</v>
      </c>
      <c r="G149" s="390"/>
      <c r="H149" s="390"/>
      <c r="K149" s="356"/>
    </row>
    <row r="150" spans="1:11" hidden="1" x14ac:dyDescent="0.25">
      <c r="A150" s="387" t="s">
        <v>222</v>
      </c>
      <c r="B150" s="389">
        <f>Работы!B44</f>
        <v>0</v>
      </c>
      <c r="C150" s="389"/>
      <c r="D150" s="388"/>
      <c r="E150" s="388"/>
      <c r="F150" s="376">
        <f>IFERROR(INDEX(Работы!$1:$1048576,MATCH($B150,Работы!$B:$B,0),MATCH($F$14,Работы!$8:$8,0)),"---")</f>
        <v>0</v>
      </c>
      <c r="G150" s="390"/>
      <c r="H150" s="390"/>
      <c r="K150" s="356"/>
    </row>
    <row r="151" spans="1:11" hidden="1" x14ac:dyDescent="0.25">
      <c r="A151" s="387" t="s">
        <v>222</v>
      </c>
      <c r="B151" s="389">
        <f>Работы!B45</f>
        <v>0</v>
      </c>
      <c r="C151" s="389"/>
      <c r="D151" s="388"/>
      <c r="E151" s="388"/>
      <c r="F151" s="376">
        <f>IFERROR(INDEX(Работы!$1:$1048576,MATCH($B151,Работы!$B:$B,0),MATCH($F$14,Работы!$8:$8,0)),"---")</f>
        <v>0</v>
      </c>
      <c r="G151" s="390"/>
      <c r="H151" s="390"/>
      <c r="K151" s="356"/>
    </row>
    <row r="152" spans="1:11" hidden="1" x14ac:dyDescent="0.25">
      <c r="A152" s="387" t="s">
        <v>222</v>
      </c>
      <c r="B152" s="389">
        <f>Работы!B46</f>
        <v>0</v>
      </c>
      <c r="C152" s="389"/>
      <c r="D152" s="388"/>
      <c r="E152" s="388"/>
      <c r="F152" s="376">
        <f>IFERROR(INDEX(Работы!$1:$1048576,MATCH($B152,Работы!$B:$B,0),MATCH($F$14,Работы!$8:$8,0)),"---")</f>
        <v>0</v>
      </c>
      <c r="G152" s="390"/>
      <c r="H152" s="390"/>
      <c r="K152" s="356"/>
    </row>
    <row r="153" spans="1:11" hidden="1" x14ac:dyDescent="0.25">
      <c r="A153" s="387" t="s">
        <v>222</v>
      </c>
      <c r="B153" s="389">
        <f>Работы!B47</f>
        <v>0</v>
      </c>
      <c r="C153" s="389"/>
      <c r="D153" s="388"/>
      <c r="E153" s="388"/>
      <c r="F153" s="376">
        <f>IFERROR(INDEX(Работы!$1:$1048576,MATCH($B153,Работы!$B:$B,0),MATCH($F$14,Работы!$8:$8,0)),"---")</f>
        <v>0</v>
      </c>
      <c r="G153" s="390"/>
      <c r="H153" s="390"/>
      <c r="K153" s="356"/>
    </row>
    <row r="154" spans="1:11" hidden="1" x14ac:dyDescent="0.25">
      <c r="A154" s="387" t="s">
        <v>222</v>
      </c>
      <c r="B154" s="389">
        <f>Работы!B48</f>
        <v>0</v>
      </c>
      <c r="C154" s="389"/>
      <c r="D154" s="388"/>
      <c r="E154" s="388"/>
      <c r="F154" s="376">
        <f>IFERROR(INDEX(Работы!$1:$1048576,MATCH($B154,Работы!$B:$B,0),MATCH($F$14,Работы!$8:$8,0)),"---")</f>
        <v>0</v>
      </c>
      <c r="G154" s="390"/>
      <c r="H154" s="390"/>
      <c r="K154" s="356"/>
    </row>
    <row r="155" spans="1:11" hidden="1" x14ac:dyDescent="0.25">
      <c r="A155" s="387" t="s">
        <v>222</v>
      </c>
      <c r="B155" s="389">
        <f>Работы!B49</f>
        <v>0</v>
      </c>
      <c r="C155" s="389"/>
      <c r="D155" s="388"/>
      <c r="E155" s="388"/>
      <c r="F155" s="376">
        <f>IFERROR(INDEX(Работы!$1:$1048576,MATCH($B155,Работы!$B:$B,0),MATCH($F$14,Работы!$8:$8,0)),"---")</f>
        <v>0</v>
      </c>
      <c r="G155" s="390"/>
      <c r="H155" s="390"/>
      <c r="K155" s="356"/>
    </row>
    <row r="156" spans="1:11" hidden="1" x14ac:dyDescent="0.25">
      <c r="A156" s="387" t="s">
        <v>222</v>
      </c>
      <c r="B156" s="389">
        <f>Работы!B50</f>
        <v>0</v>
      </c>
      <c r="C156" s="389"/>
      <c r="D156" s="388"/>
      <c r="E156" s="388"/>
      <c r="F156" s="376">
        <f>IFERROR(INDEX(Работы!$1:$1048576,MATCH($B156,Работы!$B:$B,0),MATCH($F$14,Работы!$8:$8,0)),"---")</f>
        <v>0</v>
      </c>
      <c r="G156" s="390"/>
      <c r="H156" s="390"/>
      <c r="K156" s="356"/>
    </row>
    <row r="157" spans="1:11" hidden="1" x14ac:dyDescent="0.25">
      <c r="A157" s="387" t="s">
        <v>222</v>
      </c>
      <c r="B157" s="389">
        <f>Работы!B51</f>
        <v>0</v>
      </c>
      <c r="C157" s="389"/>
      <c r="D157" s="388"/>
      <c r="E157" s="388"/>
      <c r="F157" s="376">
        <f>IFERROR(INDEX(Работы!$1:$1048576,MATCH($B157,Работы!$B:$B,0),MATCH($F$14,Работы!$8:$8,0)),"---")</f>
        <v>0</v>
      </c>
      <c r="G157" s="390"/>
      <c r="H157" s="390"/>
      <c r="K157" s="356"/>
    </row>
    <row r="158" spans="1:11" hidden="1" x14ac:dyDescent="0.25">
      <c r="A158" s="387" t="s">
        <v>222</v>
      </c>
      <c r="B158" s="389">
        <f>Работы!B52</f>
        <v>0</v>
      </c>
      <c r="C158" s="389"/>
      <c r="D158" s="388"/>
      <c r="E158" s="388"/>
      <c r="F158" s="376">
        <f>IFERROR(INDEX(Работы!$1:$1048576,MATCH($B158,Работы!$B:$B,0),MATCH($F$14,Работы!$8:$8,0)),"---")</f>
        <v>0</v>
      </c>
      <c r="G158" s="390"/>
      <c r="H158" s="390"/>
      <c r="K158" s="356"/>
    </row>
    <row r="159" spans="1:11" hidden="1" x14ac:dyDescent="0.25">
      <c r="A159" s="387" t="s">
        <v>222</v>
      </c>
      <c r="B159" s="389">
        <f>Работы!B53</f>
        <v>0</v>
      </c>
      <c r="C159" s="389"/>
      <c r="D159" s="388"/>
      <c r="E159" s="388"/>
      <c r="F159" s="376">
        <f>IFERROR(INDEX(Работы!$1:$1048576,MATCH($B159,Работы!$B:$B,0),MATCH($F$14,Работы!$8:$8,0)),"---")</f>
        <v>0</v>
      </c>
      <c r="G159" s="390"/>
      <c r="H159" s="390"/>
      <c r="K159" s="356"/>
    </row>
    <row r="160" spans="1:11" hidden="1" x14ac:dyDescent="0.25">
      <c r="A160" s="387" t="s">
        <v>222</v>
      </c>
      <c r="B160" s="389">
        <f>Работы!B54</f>
        <v>0</v>
      </c>
      <c r="C160" s="389"/>
      <c r="D160" s="388"/>
      <c r="E160" s="388"/>
      <c r="F160" s="376">
        <f>IFERROR(INDEX(Работы!$1:$1048576,MATCH($B160,Работы!$B:$B,0),MATCH($F$14,Работы!$8:$8,0)),"---")</f>
        <v>0</v>
      </c>
      <c r="G160" s="390"/>
      <c r="H160" s="390"/>
      <c r="K160" s="356"/>
    </row>
    <row r="161" spans="1:14" hidden="1" x14ac:dyDescent="0.25">
      <c r="A161" s="387" t="s">
        <v>222</v>
      </c>
      <c r="B161" s="389">
        <f>Работы!B55</f>
        <v>0</v>
      </c>
      <c r="C161" s="389"/>
      <c r="D161" s="388"/>
      <c r="E161" s="388"/>
      <c r="F161" s="376">
        <f>IFERROR(INDEX(Работы!$1:$1048576,MATCH($B161,Работы!$B:$B,0),MATCH($F$14,Работы!$8:$8,0)),"---")</f>
        <v>0</v>
      </c>
      <c r="G161" s="390"/>
      <c r="H161" s="390"/>
      <c r="K161" s="356"/>
    </row>
    <row r="162" spans="1:14" hidden="1" x14ac:dyDescent="0.25">
      <c r="A162" s="387" t="s">
        <v>222</v>
      </c>
      <c r="B162" s="389">
        <f>Работы!B56</f>
        <v>0</v>
      </c>
      <c r="C162" s="389"/>
      <c r="D162" s="388"/>
      <c r="E162" s="388"/>
      <c r="F162" s="376">
        <f>IFERROR(INDEX(Работы!$1:$1048576,MATCH($B162,Работы!$B:$B,0),MATCH($F$14,Работы!$8:$8,0)),"---")</f>
        <v>0</v>
      </c>
      <c r="G162" s="390"/>
      <c r="H162" s="390"/>
      <c r="K162" s="356"/>
    </row>
    <row r="163" spans="1:14" hidden="1" x14ac:dyDescent="0.25">
      <c r="A163" s="387" t="s">
        <v>222</v>
      </c>
      <c r="B163" s="389">
        <f>Работы!B57</f>
        <v>0</v>
      </c>
      <c r="C163" s="389"/>
      <c r="D163" s="388"/>
      <c r="E163" s="388"/>
      <c r="F163" s="376">
        <f>IFERROR(INDEX(Работы!$1:$1048576,MATCH($B163,Работы!$B:$B,0),MATCH($F$14,Работы!$8:$8,0)),"---")</f>
        <v>0</v>
      </c>
      <c r="G163" s="390"/>
      <c r="H163" s="390"/>
      <c r="K163" s="356"/>
    </row>
    <row r="164" spans="1:14" hidden="1" x14ac:dyDescent="0.25">
      <c r="A164" s="387" t="s">
        <v>222</v>
      </c>
      <c r="B164" s="389">
        <f>Работы!B58</f>
        <v>0</v>
      </c>
      <c r="C164" s="389"/>
      <c r="D164" s="388"/>
      <c r="E164" s="388"/>
      <c r="F164" s="376">
        <f>IFERROR(INDEX(Работы!$1:$1048576,MATCH($B164,Работы!$B:$B,0),MATCH($F$14,Работы!$8:$8,0)),"---")</f>
        <v>0</v>
      </c>
      <c r="G164" s="390"/>
      <c r="H164" s="390"/>
      <c r="K164" s="356"/>
    </row>
    <row r="165" spans="1:14" hidden="1" x14ac:dyDescent="0.25">
      <c r="A165" s="387" t="s">
        <v>222</v>
      </c>
      <c r="B165" s="389">
        <f>Работы!B59</f>
        <v>0</v>
      </c>
      <c r="C165" s="389"/>
      <c r="D165" s="388"/>
      <c r="E165" s="388"/>
      <c r="F165" s="376">
        <f>IFERROR(INDEX(Работы!$1:$1048576,MATCH($B165,Работы!$B:$B,0),MATCH($F$14,Работы!$8:$8,0)),"---")</f>
        <v>0</v>
      </c>
      <c r="G165" s="390"/>
      <c r="H165" s="390"/>
      <c r="K165" s="356"/>
    </row>
    <row r="166" spans="1:14" hidden="1" x14ac:dyDescent="0.25">
      <c r="A166" s="387" t="s">
        <v>222</v>
      </c>
      <c r="B166" s="389">
        <f>Работы!B60</f>
        <v>0</v>
      </c>
      <c r="C166" s="389"/>
      <c r="D166" s="388"/>
      <c r="E166" s="388"/>
      <c r="F166" s="376">
        <f>IFERROR(INDEX(Работы!$1:$1048576,MATCH($B166,Работы!$B:$B,0),MATCH($F$14,Работы!$8:$8,0)),"---")</f>
        <v>0</v>
      </c>
      <c r="G166" s="390"/>
      <c r="H166" s="390"/>
      <c r="K166" s="356"/>
    </row>
    <row r="167" spans="1:14" hidden="1" x14ac:dyDescent="0.25">
      <c r="A167" s="387" t="s">
        <v>222</v>
      </c>
      <c r="B167" s="389">
        <f>Работы!B61</f>
        <v>0</v>
      </c>
      <c r="C167" s="389"/>
      <c r="D167" s="388"/>
      <c r="E167" s="388"/>
      <c r="F167" s="376">
        <f>IFERROR(INDEX(Работы!$1:$1048576,MATCH($B167,Работы!$B:$B,0),MATCH($F$14,Работы!$8:$8,0)),"---")</f>
        <v>0</v>
      </c>
      <c r="G167" s="390"/>
      <c r="H167" s="390"/>
      <c r="K167" s="356"/>
    </row>
    <row r="168" spans="1:14" s="143" customFormat="1" hidden="1" x14ac:dyDescent="0.25">
      <c r="A168" s="148" t="s">
        <v>222</v>
      </c>
      <c r="B168" s="145">
        <f>Работы!B62</f>
        <v>0</v>
      </c>
      <c r="C168" s="145"/>
      <c r="D168" s="146"/>
      <c r="E168" s="146"/>
      <c r="F168" s="144">
        <f>IFERROR(INDEX(Работы!$1:$1048576,MATCH($B168,Работы!$B:$B,0),MATCH($F$14,Работы!$8:$8,0)),"---")</f>
        <v>0</v>
      </c>
      <c r="G168" s="147"/>
      <c r="H168" s="147"/>
    </row>
    <row r="169" spans="1:14" s="143" customFormat="1" x14ac:dyDescent="0.25">
      <c r="A169" s="148" t="s">
        <v>222</v>
      </c>
      <c r="B169" s="145">
        <f>Работы!B63</f>
        <v>0</v>
      </c>
      <c r="C169" s="145"/>
      <c r="D169" s="146"/>
      <c r="E169" s="146"/>
      <c r="F169" s="144">
        <f>IFERROR(INDEX(Работы!$1:$1048576,MATCH($B169,Работы!$B:$B,0),MATCH($F$14,Работы!$8:$8,0)),"---")</f>
        <v>0</v>
      </c>
      <c r="G169" s="147"/>
      <c r="H169" s="147"/>
    </row>
    <row r="170" spans="1:14" s="143" customFormat="1" x14ac:dyDescent="0.25">
      <c r="A170" s="11"/>
      <c r="B170" s="540"/>
      <c r="C170" s="540"/>
      <c r="D170" s="149"/>
      <c r="E170" s="149"/>
      <c r="F170" s="149"/>
      <c r="G170" s="149"/>
      <c r="H170" s="149"/>
      <c r="I170" s="548"/>
      <c r="J170" s="542"/>
      <c r="N170" s="542"/>
    </row>
    <row r="171" spans="1:14" x14ac:dyDescent="0.25">
      <c r="A171" s="387" t="s">
        <v>437</v>
      </c>
      <c r="B171" s="389">
        <f>Работы!B65</f>
        <v>0</v>
      </c>
      <c r="C171" s="389">
        <f>Работы!C65</f>
        <v>0</v>
      </c>
      <c r="D171" s="388"/>
      <c r="E171" s="388"/>
      <c r="F171" s="376">
        <f>IFERROR(INDEX(Работы!$1:$1048576,MATCH($C171,Работы!$C:$C,0),MATCH($F$14,Работы!$8:$8,0)),"---")</f>
        <v>0</v>
      </c>
      <c r="G171" s="390"/>
      <c r="H171" s="390"/>
      <c r="K171" s="356"/>
    </row>
    <row r="172" spans="1:14" x14ac:dyDescent="0.25">
      <c r="A172" s="387" t="s">
        <v>437</v>
      </c>
      <c r="B172" s="389">
        <f>Работы!B66</f>
        <v>0</v>
      </c>
      <c r="C172" s="389">
        <f>Работы!C66</f>
        <v>0</v>
      </c>
      <c r="D172" s="388"/>
      <c r="E172" s="388"/>
      <c r="F172" s="376">
        <f>IFERROR(INDEX(Работы!$1:$1048576,MATCH($C172,Работы!$C:$C,0),MATCH($F$14,Работы!$8:$8,0)),"---")</f>
        <v>0</v>
      </c>
      <c r="G172" s="390"/>
      <c r="H172" s="390"/>
      <c r="K172" s="356"/>
    </row>
    <row r="173" spans="1:14" x14ac:dyDescent="0.25">
      <c r="A173" s="387" t="s">
        <v>437</v>
      </c>
      <c r="B173" s="389">
        <f>Работы!B67</f>
        <v>0</v>
      </c>
      <c r="C173" s="389">
        <f>Работы!C67</f>
        <v>0</v>
      </c>
      <c r="D173" s="388"/>
      <c r="E173" s="388"/>
      <c r="F173" s="376">
        <f>IFERROR(INDEX(Работы!$1:$1048576,MATCH($C173,Работы!$C:$C,0),MATCH($F$14,Работы!$8:$8,0)),"---")</f>
        <v>0</v>
      </c>
      <c r="G173" s="390"/>
      <c r="H173" s="390"/>
      <c r="K173" s="356"/>
    </row>
    <row r="174" spans="1:14" x14ac:dyDescent="0.25">
      <c r="A174" s="387" t="s">
        <v>437</v>
      </c>
      <c r="B174" s="389">
        <f>Работы!B68</f>
        <v>0</v>
      </c>
      <c r="C174" s="389">
        <f>Работы!C68</f>
        <v>0</v>
      </c>
      <c r="D174" s="388"/>
      <c r="E174" s="388"/>
      <c r="F174" s="376">
        <f>IFERROR(INDEX(Работы!$1:$1048576,MATCH($C174,Работы!$C:$C,0),MATCH($F$14,Работы!$8:$8,0)),"---")</f>
        <v>0</v>
      </c>
      <c r="G174" s="390"/>
      <c r="H174" s="390"/>
      <c r="K174" s="356"/>
    </row>
    <row r="175" spans="1:14" x14ac:dyDescent="0.25">
      <c r="A175" s="387" t="s">
        <v>437</v>
      </c>
      <c r="B175" s="389">
        <f>Работы!B69</f>
        <v>0</v>
      </c>
      <c r="C175" s="389">
        <f>Работы!C69</f>
        <v>0</v>
      </c>
      <c r="D175" s="388"/>
      <c r="E175" s="388"/>
      <c r="F175" s="376">
        <f>IFERROR(INDEX(Работы!$1:$1048576,MATCH($C175,Работы!$C:$C,0),MATCH($F$14,Работы!$8:$8,0)),"---")</f>
        <v>0</v>
      </c>
      <c r="G175" s="390"/>
      <c r="H175" s="390"/>
      <c r="K175" s="356"/>
    </row>
    <row r="176" spans="1:14" x14ac:dyDescent="0.25">
      <c r="A176" s="387" t="s">
        <v>437</v>
      </c>
      <c r="B176" s="389">
        <f>Работы!B70</f>
        <v>0</v>
      </c>
      <c r="C176" s="389">
        <f>Работы!C70</f>
        <v>0</v>
      </c>
      <c r="D176" s="388"/>
      <c r="E176" s="388"/>
      <c r="F176" s="376">
        <f>IFERROR(INDEX(Работы!$1:$1048576,MATCH($C176,Работы!$C:$C,0),MATCH($F$14,Работы!$8:$8,0)),"---")</f>
        <v>0</v>
      </c>
      <c r="G176" s="390"/>
      <c r="H176" s="390"/>
      <c r="K176" s="356"/>
    </row>
    <row r="177" spans="1:11" x14ac:dyDescent="0.25">
      <c r="A177" s="387" t="s">
        <v>437</v>
      </c>
      <c r="B177" s="389">
        <f>Работы!B71</f>
        <v>0</v>
      </c>
      <c r="C177" s="389">
        <f>Работы!C71</f>
        <v>0</v>
      </c>
      <c r="D177" s="388"/>
      <c r="E177" s="388"/>
      <c r="F177" s="376">
        <f>IFERROR(INDEX(Работы!$1:$1048576,MATCH($C177,Работы!$C:$C,0),MATCH($F$14,Работы!$8:$8,0)),"---")</f>
        <v>0</v>
      </c>
      <c r="G177" s="390"/>
      <c r="H177" s="390"/>
      <c r="K177" s="356"/>
    </row>
    <row r="178" spans="1:11" x14ac:dyDescent="0.25">
      <c r="A178" s="387" t="s">
        <v>437</v>
      </c>
      <c r="B178" s="389">
        <f>Работы!B72</f>
        <v>0</v>
      </c>
      <c r="C178" s="389">
        <f>Работы!C72</f>
        <v>0</v>
      </c>
      <c r="D178" s="388"/>
      <c r="E178" s="388"/>
      <c r="F178" s="376">
        <f>IFERROR(INDEX(Работы!$1:$1048576,MATCH($C178,Работы!$C:$C,0),MATCH($F$14,Работы!$8:$8,0)),"---")</f>
        <v>0</v>
      </c>
      <c r="G178" s="390"/>
      <c r="H178" s="390"/>
      <c r="K178" s="356"/>
    </row>
    <row r="179" spans="1:11" x14ac:dyDescent="0.25">
      <c r="A179" s="387" t="s">
        <v>437</v>
      </c>
      <c r="B179" s="389">
        <f>Работы!B73</f>
        <v>0</v>
      </c>
      <c r="C179" s="389">
        <f>Работы!C73</f>
        <v>0</v>
      </c>
      <c r="D179" s="388"/>
      <c r="E179" s="388"/>
      <c r="F179" s="376">
        <f>IFERROR(INDEX(Работы!$1:$1048576,MATCH($C179,Работы!$C:$C,0),MATCH($F$14,Работы!$8:$8,0)),"---")</f>
        <v>0</v>
      </c>
      <c r="G179" s="390"/>
      <c r="H179" s="390"/>
      <c r="K179" s="356"/>
    </row>
    <row r="180" spans="1:11" x14ac:dyDescent="0.25">
      <c r="A180" s="387" t="s">
        <v>437</v>
      </c>
      <c r="B180" s="389">
        <f>Работы!B74</f>
        <v>0</v>
      </c>
      <c r="C180" s="389">
        <f>Работы!C74</f>
        <v>0</v>
      </c>
      <c r="D180" s="388"/>
      <c r="E180" s="388"/>
      <c r="F180" s="376">
        <f>IFERROR(INDEX(Работы!$1:$1048576,MATCH($C180,Работы!$C:$C,0),MATCH($F$14,Работы!$8:$8,0)),"---")</f>
        <v>0</v>
      </c>
      <c r="G180" s="390"/>
      <c r="H180" s="390"/>
      <c r="K180" s="356"/>
    </row>
    <row r="181" spans="1:11" x14ac:dyDescent="0.25">
      <c r="A181" s="387" t="s">
        <v>437</v>
      </c>
      <c r="B181" s="389">
        <f>Работы!B75</f>
        <v>0</v>
      </c>
      <c r="C181" s="389">
        <f>Работы!C75</f>
        <v>0</v>
      </c>
      <c r="D181" s="388"/>
      <c r="E181" s="388"/>
      <c r="F181" s="376">
        <f>IFERROR(INDEX(Работы!$1:$1048576,MATCH($C181,Работы!$C:$C,0),MATCH($F$14,Работы!$8:$8,0)),"---")</f>
        <v>0</v>
      </c>
      <c r="G181" s="390"/>
      <c r="H181" s="390"/>
      <c r="K181" s="356"/>
    </row>
    <row r="182" spans="1:11" x14ac:dyDescent="0.25">
      <c r="A182" s="387" t="s">
        <v>437</v>
      </c>
      <c r="B182" s="389">
        <f>Работы!B76</f>
        <v>0</v>
      </c>
      <c r="C182" s="389">
        <f>Работы!C76</f>
        <v>0</v>
      </c>
      <c r="D182" s="388"/>
      <c r="E182" s="388"/>
      <c r="F182" s="376">
        <f>IFERROR(INDEX(Работы!$1:$1048576,MATCH($C182,Работы!$C:$C,0),MATCH($F$14,Работы!$8:$8,0)),"---")</f>
        <v>0</v>
      </c>
      <c r="G182" s="390"/>
      <c r="H182" s="390"/>
      <c r="K182" s="356"/>
    </row>
    <row r="183" spans="1:11" x14ac:dyDescent="0.25">
      <c r="A183" s="387" t="s">
        <v>437</v>
      </c>
      <c r="B183" s="389">
        <f>Работы!B77</f>
        <v>0</v>
      </c>
      <c r="C183" s="389">
        <f>Работы!C77</f>
        <v>0</v>
      </c>
      <c r="D183" s="388"/>
      <c r="E183" s="388"/>
      <c r="F183" s="376">
        <f>IFERROR(INDEX(Работы!$1:$1048576,MATCH($C183,Работы!$C:$C,0),MATCH($F$14,Работы!$8:$8,0)),"---")</f>
        <v>0</v>
      </c>
      <c r="G183" s="390"/>
      <c r="H183" s="390"/>
      <c r="K183" s="356"/>
    </row>
    <row r="184" spans="1:11" x14ac:dyDescent="0.25">
      <c r="A184" s="387" t="s">
        <v>437</v>
      </c>
      <c r="B184" s="389">
        <f>Работы!B78</f>
        <v>0</v>
      </c>
      <c r="C184" s="389">
        <f>Работы!C78</f>
        <v>0</v>
      </c>
      <c r="D184" s="388"/>
      <c r="E184" s="388"/>
      <c r="F184" s="376">
        <f>IFERROR(INDEX(Работы!$1:$1048576,MATCH($C184,Работы!$C:$C,0),MATCH($F$14,Работы!$8:$8,0)),"---")</f>
        <v>0</v>
      </c>
      <c r="G184" s="390"/>
      <c r="H184" s="390"/>
      <c r="K184" s="356"/>
    </row>
    <row r="185" spans="1:11" x14ac:dyDescent="0.25">
      <c r="A185" s="387" t="s">
        <v>437</v>
      </c>
      <c r="B185" s="389">
        <f>Работы!B79</f>
        <v>0</v>
      </c>
      <c r="C185" s="389">
        <f>Работы!C79</f>
        <v>0</v>
      </c>
      <c r="D185" s="388"/>
      <c r="E185" s="388"/>
      <c r="F185" s="376">
        <f>IFERROR(INDEX(Работы!$1:$1048576,MATCH($C185,Работы!$C:$C,0),MATCH($F$14,Работы!$8:$8,0)),"---")</f>
        <v>0</v>
      </c>
      <c r="G185" s="390"/>
      <c r="H185" s="390"/>
      <c r="K185" s="356"/>
    </row>
    <row r="186" spans="1:11" x14ac:dyDescent="0.25">
      <c r="A186" s="387" t="s">
        <v>437</v>
      </c>
      <c r="B186" s="389">
        <f>Работы!B80</f>
        <v>0</v>
      </c>
      <c r="C186" s="389">
        <f>Работы!C80</f>
        <v>0</v>
      </c>
      <c r="D186" s="388"/>
      <c r="E186" s="388"/>
      <c r="F186" s="376">
        <f>IFERROR(INDEX(Работы!$1:$1048576,MATCH($C186,Работы!$C:$C,0),MATCH($F$14,Работы!$8:$8,0)),"---")</f>
        <v>0</v>
      </c>
      <c r="G186" s="390"/>
      <c r="H186" s="390"/>
      <c r="K186" s="356"/>
    </row>
    <row r="187" spans="1:11" x14ac:dyDescent="0.25">
      <c r="A187" s="387" t="s">
        <v>437</v>
      </c>
      <c r="B187" s="389">
        <f>Работы!B81</f>
        <v>0</v>
      </c>
      <c r="C187" s="389">
        <f>Работы!C81</f>
        <v>0</v>
      </c>
      <c r="D187" s="388"/>
      <c r="E187" s="388"/>
      <c r="F187" s="376">
        <f>IFERROR(INDEX(Работы!$1:$1048576,MATCH($C187,Работы!$C:$C,0),MATCH($F$14,Работы!$8:$8,0)),"---")</f>
        <v>0</v>
      </c>
      <c r="G187" s="390"/>
      <c r="H187" s="390"/>
      <c r="K187" s="356"/>
    </row>
    <row r="188" spans="1:11" x14ac:dyDescent="0.25">
      <c r="A188" s="387" t="s">
        <v>437</v>
      </c>
      <c r="B188" s="389">
        <f>Работы!B82</f>
        <v>0</v>
      </c>
      <c r="C188" s="389">
        <f>Работы!C82</f>
        <v>0</v>
      </c>
      <c r="D188" s="388"/>
      <c r="E188" s="388"/>
      <c r="F188" s="376">
        <f>IFERROR(INDEX(Работы!$1:$1048576,MATCH($C188,Работы!$C:$C,0),MATCH($F$14,Работы!$8:$8,0)),"---")</f>
        <v>0</v>
      </c>
      <c r="G188" s="390"/>
      <c r="H188" s="390"/>
      <c r="K188" s="356"/>
    </row>
    <row r="189" spans="1:11" hidden="1" x14ac:dyDescent="0.25">
      <c r="A189" s="387" t="s">
        <v>437</v>
      </c>
      <c r="B189" s="389">
        <f>Работы!B83</f>
        <v>0</v>
      </c>
      <c r="C189" s="389">
        <f>Работы!C83</f>
        <v>0</v>
      </c>
      <c r="D189" s="388"/>
      <c r="E189" s="388"/>
      <c r="F189" s="376">
        <f>IFERROR(INDEX(Работы!$1:$1048576,MATCH($C189,Работы!$C:$C,0),MATCH($F$14,Работы!$8:$8,0)),"---")</f>
        <v>0</v>
      </c>
      <c r="G189" s="390"/>
      <c r="H189" s="390"/>
      <c r="K189" s="356"/>
    </row>
    <row r="190" spans="1:11" hidden="1" x14ac:dyDescent="0.25">
      <c r="A190" s="387" t="s">
        <v>437</v>
      </c>
      <c r="B190" s="389">
        <f>Работы!B84</f>
        <v>0</v>
      </c>
      <c r="C190" s="389">
        <f>Работы!C84</f>
        <v>0</v>
      </c>
      <c r="D190" s="388"/>
      <c r="E190" s="388"/>
      <c r="F190" s="376">
        <f>IFERROR(INDEX(Работы!$1:$1048576,MATCH($C190,Работы!$C:$C,0),MATCH($F$14,Работы!$8:$8,0)),"---")</f>
        <v>0</v>
      </c>
      <c r="G190" s="390"/>
      <c r="H190" s="390"/>
      <c r="K190" s="356"/>
    </row>
    <row r="191" spans="1:11" hidden="1" x14ac:dyDescent="0.25">
      <c r="A191" s="387" t="s">
        <v>437</v>
      </c>
      <c r="B191" s="389">
        <f>Работы!B85</f>
        <v>0</v>
      </c>
      <c r="C191" s="389">
        <f>Работы!C85</f>
        <v>0</v>
      </c>
      <c r="D191" s="388"/>
      <c r="E191" s="388"/>
      <c r="F191" s="376">
        <f>IFERROR(INDEX(Работы!$1:$1048576,MATCH($C191,Работы!$C:$C,0),MATCH($F$14,Работы!$8:$8,0)),"---")</f>
        <v>0</v>
      </c>
      <c r="G191" s="390"/>
      <c r="H191" s="390"/>
      <c r="K191" s="356"/>
    </row>
    <row r="192" spans="1:11" hidden="1" x14ac:dyDescent="0.25">
      <c r="A192" s="387" t="s">
        <v>437</v>
      </c>
      <c r="B192" s="389">
        <f>Работы!B86</f>
        <v>0</v>
      </c>
      <c r="C192" s="389">
        <f>Работы!C86</f>
        <v>0</v>
      </c>
      <c r="D192" s="388"/>
      <c r="E192" s="388"/>
      <c r="F192" s="376">
        <f>IFERROR(INDEX(Работы!$1:$1048576,MATCH($C192,Работы!$C:$C,0),MATCH($F$14,Работы!$8:$8,0)),"---")</f>
        <v>0</v>
      </c>
      <c r="G192" s="390"/>
      <c r="H192" s="390"/>
      <c r="K192" s="356"/>
    </row>
    <row r="193" spans="1:11" hidden="1" x14ac:dyDescent="0.25">
      <c r="A193" s="387" t="s">
        <v>437</v>
      </c>
      <c r="B193" s="389">
        <f>Работы!B87</f>
        <v>0</v>
      </c>
      <c r="C193" s="389">
        <f>Работы!C87</f>
        <v>0</v>
      </c>
      <c r="D193" s="388"/>
      <c r="E193" s="388"/>
      <c r="F193" s="376">
        <f>IFERROR(INDEX(Работы!$1:$1048576,MATCH($C193,Работы!$C:$C,0),MATCH($F$14,Работы!$8:$8,0)),"---")</f>
        <v>0</v>
      </c>
      <c r="G193" s="390"/>
      <c r="H193" s="390"/>
      <c r="K193" s="356"/>
    </row>
    <row r="194" spans="1:11" hidden="1" x14ac:dyDescent="0.25">
      <c r="A194" s="387" t="s">
        <v>437</v>
      </c>
      <c r="B194" s="389">
        <f>Работы!B88</f>
        <v>0</v>
      </c>
      <c r="C194" s="389">
        <f>Работы!C88</f>
        <v>0</v>
      </c>
      <c r="D194" s="388"/>
      <c r="E194" s="388"/>
      <c r="F194" s="376">
        <f>IFERROR(INDEX(Работы!$1:$1048576,MATCH($C194,Работы!$C:$C,0),MATCH($F$14,Работы!$8:$8,0)),"---")</f>
        <v>0</v>
      </c>
      <c r="G194" s="390"/>
      <c r="H194" s="390"/>
      <c r="K194" s="356"/>
    </row>
    <row r="195" spans="1:11" hidden="1" x14ac:dyDescent="0.25">
      <c r="A195" s="387" t="s">
        <v>437</v>
      </c>
      <c r="B195" s="389">
        <f>Работы!B89</f>
        <v>0</v>
      </c>
      <c r="C195" s="389">
        <f>Работы!C89</f>
        <v>0</v>
      </c>
      <c r="D195" s="388"/>
      <c r="E195" s="388"/>
      <c r="F195" s="376">
        <f>IFERROR(INDEX(Работы!$1:$1048576,MATCH($C195,Работы!$C:$C,0),MATCH($F$14,Работы!$8:$8,0)),"---")</f>
        <v>0</v>
      </c>
      <c r="G195" s="390"/>
      <c r="H195" s="390"/>
      <c r="K195" s="356"/>
    </row>
    <row r="196" spans="1:11" hidden="1" x14ac:dyDescent="0.25">
      <c r="A196" s="387" t="s">
        <v>437</v>
      </c>
      <c r="B196" s="389">
        <f>Работы!B90</f>
        <v>0</v>
      </c>
      <c r="C196" s="389">
        <f>Работы!C90</f>
        <v>0</v>
      </c>
      <c r="D196" s="388"/>
      <c r="E196" s="388"/>
      <c r="F196" s="376">
        <f>IFERROR(INDEX(Работы!$1:$1048576,MATCH($C196,Работы!$C:$C,0),MATCH($F$14,Работы!$8:$8,0)),"---")</f>
        <v>0</v>
      </c>
      <c r="G196" s="390"/>
      <c r="H196" s="390"/>
      <c r="K196" s="356"/>
    </row>
    <row r="197" spans="1:11" ht="17.25" hidden="1" customHeight="1" x14ac:dyDescent="0.25">
      <c r="A197" s="387" t="s">
        <v>437</v>
      </c>
      <c r="B197" s="389">
        <f>Работы!B91</f>
        <v>0</v>
      </c>
      <c r="C197" s="389">
        <f>Работы!C91</f>
        <v>0</v>
      </c>
      <c r="D197" s="388"/>
      <c r="E197" s="388"/>
      <c r="F197" s="376">
        <f>IFERROR(INDEX(Работы!$1:$1048576,MATCH($C197,Работы!$C:$C,0),MATCH($F$14,Работы!$8:$8,0)),"---")</f>
        <v>0</v>
      </c>
      <c r="G197" s="390"/>
      <c r="H197" s="390"/>
      <c r="K197" s="356"/>
    </row>
    <row r="198" spans="1:11" ht="17.25" hidden="1" customHeight="1" x14ac:dyDescent="0.25">
      <c r="A198" s="387" t="s">
        <v>437</v>
      </c>
      <c r="B198" s="389">
        <f>Работы!B92</f>
        <v>0</v>
      </c>
      <c r="C198" s="389">
        <f>Работы!C92</f>
        <v>0</v>
      </c>
      <c r="D198" s="388"/>
      <c r="E198" s="388"/>
      <c r="F198" s="376">
        <f>IFERROR(INDEX(Работы!$1:$1048576,MATCH($C198,Работы!$C:$C,0),MATCH($F$14,Работы!$8:$8,0)),"---")</f>
        <v>0</v>
      </c>
      <c r="G198" s="390"/>
      <c r="H198" s="390"/>
      <c r="K198" s="356"/>
    </row>
    <row r="199" spans="1:11" ht="17.25" hidden="1" customHeight="1" x14ac:dyDescent="0.25">
      <c r="A199" s="387" t="s">
        <v>437</v>
      </c>
      <c r="B199" s="389">
        <f>Работы!B93</f>
        <v>0</v>
      </c>
      <c r="C199" s="389">
        <f>Работы!C93</f>
        <v>0</v>
      </c>
      <c r="D199" s="388"/>
      <c r="E199" s="388"/>
      <c r="F199" s="376">
        <f>IFERROR(INDEX(Работы!$1:$1048576,MATCH($C199,Работы!$C:$C,0),MATCH($F$14,Работы!$8:$8,0)),"---")</f>
        <v>0</v>
      </c>
      <c r="G199" s="390"/>
      <c r="H199" s="390"/>
      <c r="K199" s="356"/>
    </row>
    <row r="200" spans="1:11" ht="17.25" hidden="1" customHeight="1" x14ac:dyDescent="0.25">
      <c r="A200" s="387" t="s">
        <v>437</v>
      </c>
      <c r="B200" s="389">
        <f>Работы!B94</f>
        <v>0</v>
      </c>
      <c r="C200" s="389">
        <f>Работы!C94</f>
        <v>0</v>
      </c>
      <c r="D200" s="388"/>
      <c r="E200" s="388"/>
      <c r="F200" s="376">
        <f>IFERROR(INDEX(Работы!$1:$1048576,MATCH($C200,Работы!$C:$C,0),MATCH($F$14,Работы!$8:$8,0)),"---")</f>
        <v>0</v>
      </c>
      <c r="G200" s="390"/>
      <c r="H200" s="390"/>
      <c r="K200" s="356"/>
    </row>
    <row r="201" spans="1:11" ht="17.25" hidden="1" customHeight="1" x14ac:dyDescent="0.25">
      <c r="A201" s="387" t="s">
        <v>437</v>
      </c>
      <c r="B201" s="389">
        <f>Работы!B95</f>
        <v>0</v>
      </c>
      <c r="C201" s="389">
        <f>Работы!C95</f>
        <v>0</v>
      </c>
      <c r="D201" s="388"/>
      <c r="E201" s="388"/>
      <c r="F201" s="376">
        <f>IFERROR(INDEX(Работы!$1:$1048576,MATCH($C201,Работы!$C:$C,0),MATCH($F$14,Работы!$8:$8,0)),"---")</f>
        <v>0</v>
      </c>
      <c r="G201" s="390"/>
      <c r="H201" s="390"/>
      <c r="K201" s="356"/>
    </row>
    <row r="202" spans="1:11" ht="17.25" hidden="1" customHeight="1" x14ac:dyDescent="0.25">
      <c r="A202" s="387" t="s">
        <v>437</v>
      </c>
      <c r="B202" s="389">
        <f>Работы!B96</f>
        <v>0</v>
      </c>
      <c r="C202" s="389">
        <f>Работы!C96</f>
        <v>0</v>
      </c>
      <c r="D202" s="388"/>
      <c r="E202" s="388"/>
      <c r="F202" s="376">
        <f>IFERROR(INDEX(Работы!$1:$1048576,MATCH($C202,Работы!$C:$C,0),MATCH($F$14,Работы!$8:$8,0)),"---")</f>
        <v>0</v>
      </c>
      <c r="G202" s="390"/>
      <c r="H202" s="390"/>
      <c r="K202" s="356"/>
    </row>
    <row r="203" spans="1:11" ht="17.25" hidden="1" customHeight="1" x14ac:dyDescent="0.25">
      <c r="A203" s="387" t="s">
        <v>437</v>
      </c>
      <c r="B203" s="389">
        <f>Работы!B97</f>
        <v>0</v>
      </c>
      <c r="C203" s="389">
        <f>Работы!C97</f>
        <v>0</v>
      </c>
      <c r="D203" s="388"/>
      <c r="E203" s="388"/>
      <c r="F203" s="376">
        <f>IFERROR(INDEX(Работы!$1:$1048576,MATCH($C203,Работы!$C:$C,0),MATCH($F$14,Работы!$8:$8,0)),"---")</f>
        <v>0</v>
      </c>
      <c r="G203" s="390"/>
      <c r="H203" s="390"/>
      <c r="K203" s="356"/>
    </row>
    <row r="204" spans="1:11" ht="17.25" hidden="1" customHeight="1" x14ac:dyDescent="0.25">
      <c r="A204" s="387" t="s">
        <v>437</v>
      </c>
      <c r="B204" s="389">
        <f>Работы!B98</f>
        <v>0</v>
      </c>
      <c r="C204" s="389">
        <f>Работы!C98</f>
        <v>0</v>
      </c>
      <c r="D204" s="388"/>
      <c r="E204" s="388"/>
      <c r="F204" s="376">
        <f>IFERROR(INDEX(Работы!$1:$1048576,MATCH($C204,Работы!$C:$C,0),MATCH($F$14,Работы!$8:$8,0)),"---")</f>
        <v>0</v>
      </c>
      <c r="G204" s="390"/>
      <c r="H204" s="390"/>
      <c r="K204" s="356"/>
    </row>
    <row r="205" spans="1:11" ht="17.25" hidden="1" customHeight="1" x14ac:dyDescent="0.25">
      <c r="A205" s="387" t="s">
        <v>437</v>
      </c>
      <c r="B205" s="389">
        <f>Работы!B99</f>
        <v>0</v>
      </c>
      <c r="C205" s="389">
        <f>Работы!C99</f>
        <v>0</v>
      </c>
      <c r="D205" s="388"/>
      <c r="E205" s="388"/>
      <c r="F205" s="376">
        <f>IFERROR(INDEX(Работы!$1:$1048576,MATCH($C205,Работы!$C:$C,0),MATCH($F$14,Работы!$8:$8,0)),"---")</f>
        <v>0</v>
      </c>
      <c r="G205" s="390"/>
      <c r="H205" s="390"/>
      <c r="K205" s="356"/>
    </row>
    <row r="206" spans="1:11" ht="17.25" hidden="1" customHeight="1" x14ac:dyDescent="0.25">
      <c r="A206" s="387" t="s">
        <v>437</v>
      </c>
      <c r="B206" s="389">
        <f>Работы!B100</f>
        <v>0</v>
      </c>
      <c r="C206" s="389">
        <f>Работы!C100</f>
        <v>0</v>
      </c>
      <c r="D206" s="388"/>
      <c r="E206" s="388"/>
      <c r="F206" s="376">
        <f>IFERROR(INDEX(Работы!$1:$1048576,MATCH($C206,Работы!$C:$C,0),MATCH($F$14,Работы!$8:$8,0)),"---")</f>
        <v>0</v>
      </c>
      <c r="G206" s="390"/>
      <c r="H206" s="390"/>
      <c r="K206" s="356"/>
    </row>
    <row r="207" spans="1:11" ht="17.25" hidden="1" customHeight="1" x14ac:dyDescent="0.25">
      <c r="A207" s="387" t="s">
        <v>437</v>
      </c>
      <c r="B207" s="389">
        <f>Работы!B101</f>
        <v>0</v>
      </c>
      <c r="C207" s="389">
        <f>Работы!C101</f>
        <v>0</v>
      </c>
      <c r="D207" s="388"/>
      <c r="E207" s="388"/>
      <c r="F207" s="376">
        <f>IFERROR(INDEX(Работы!$1:$1048576,MATCH($C207,Работы!$C:$C,0),MATCH($F$14,Работы!$8:$8,0)),"---")</f>
        <v>0</v>
      </c>
      <c r="G207" s="390"/>
      <c r="H207" s="390"/>
      <c r="K207" s="356"/>
    </row>
    <row r="208" spans="1:11" ht="17.25" hidden="1" customHeight="1" x14ac:dyDescent="0.25">
      <c r="A208" s="387" t="s">
        <v>437</v>
      </c>
      <c r="B208" s="389">
        <f>Работы!B102</f>
        <v>0</v>
      </c>
      <c r="C208" s="389">
        <f>Работы!C102</f>
        <v>0</v>
      </c>
      <c r="D208" s="388"/>
      <c r="E208" s="388"/>
      <c r="F208" s="376">
        <f>IFERROR(INDEX(Работы!$1:$1048576,MATCH($C208,Работы!$C:$C,0),MATCH($F$14,Работы!$8:$8,0)),"---")</f>
        <v>0</v>
      </c>
      <c r="G208" s="390"/>
      <c r="H208" s="390"/>
      <c r="K208" s="356"/>
    </row>
    <row r="209" spans="1:11" ht="17.25" hidden="1" customHeight="1" x14ac:dyDescent="0.25">
      <c r="A209" s="387" t="s">
        <v>437</v>
      </c>
      <c r="B209" s="389">
        <f>Работы!B103</f>
        <v>0</v>
      </c>
      <c r="C209" s="389">
        <f>Работы!C103</f>
        <v>0</v>
      </c>
      <c r="D209" s="388"/>
      <c r="E209" s="388"/>
      <c r="F209" s="376">
        <f>IFERROR(INDEX(Работы!$1:$1048576,MATCH($C209,Работы!$C:$C,0),MATCH($F$14,Работы!$8:$8,0)),"---")</f>
        <v>0</v>
      </c>
      <c r="G209" s="390"/>
      <c r="H209" s="390"/>
      <c r="K209" s="356"/>
    </row>
    <row r="210" spans="1:11" ht="17.25" hidden="1" customHeight="1" x14ac:dyDescent="0.25">
      <c r="A210" s="387" t="s">
        <v>437</v>
      </c>
      <c r="B210" s="389">
        <f>Работы!B104</f>
        <v>0</v>
      </c>
      <c r="C210" s="389">
        <f>Работы!C104</f>
        <v>0</v>
      </c>
      <c r="D210" s="388"/>
      <c r="E210" s="388"/>
      <c r="F210" s="376">
        <f>IFERROR(INDEX(Работы!$1:$1048576,MATCH($C210,Работы!$C:$C,0),MATCH($F$14,Работы!$8:$8,0)),"---")</f>
        <v>0</v>
      </c>
      <c r="G210" s="390"/>
      <c r="H210" s="390"/>
      <c r="K210" s="356"/>
    </row>
    <row r="211" spans="1:11" ht="17.25" hidden="1" customHeight="1" x14ac:dyDescent="0.25">
      <c r="A211" s="387" t="s">
        <v>437</v>
      </c>
      <c r="B211" s="389">
        <f>Работы!B105</f>
        <v>0</v>
      </c>
      <c r="C211" s="389">
        <f>Работы!C105</f>
        <v>0</v>
      </c>
      <c r="D211" s="388"/>
      <c r="E211" s="388"/>
      <c r="F211" s="376">
        <f>IFERROR(INDEX(Работы!$1:$1048576,MATCH($C211,Работы!$C:$C,0),MATCH($F$14,Работы!$8:$8,0)),"---")</f>
        <v>0</v>
      </c>
      <c r="G211" s="390"/>
      <c r="H211" s="390"/>
      <c r="K211" s="356"/>
    </row>
    <row r="212" spans="1:11" ht="17.25" hidden="1" customHeight="1" x14ac:dyDescent="0.25">
      <c r="A212" s="387" t="s">
        <v>437</v>
      </c>
      <c r="B212" s="389">
        <f>Работы!B106</f>
        <v>0</v>
      </c>
      <c r="C212" s="389">
        <f>Работы!C106</f>
        <v>0</v>
      </c>
      <c r="D212" s="388"/>
      <c r="E212" s="388"/>
      <c r="F212" s="376">
        <f>IFERROR(INDEX(Работы!$1:$1048576,MATCH($C212,Работы!$C:$C,0),MATCH($F$14,Работы!$8:$8,0)),"---")</f>
        <v>0</v>
      </c>
      <c r="G212" s="390"/>
      <c r="H212" s="390"/>
      <c r="K212" s="356"/>
    </row>
    <row r="213" spans="1:11" hidden="1" x14ac:dyDescent="0.25">
      <c r="A213" s="387" t="s">
        <v>437</v>
      </c>
      <c r="B213" s="389">
        <f>Работы!B107</f>
        <v>0</v>
      </c>
      <c r="C213" s="389">
        <f>Работы!C107</f>
        <v>0</v>
      </c>
      <c r="D213" s="388"/>
      <c r="E213" s="388"/>
      <c r="F213" s="376">
        <f>IFERROR(INDEX(Работы!$1:$1048576,MATCH($C213,Работы!$C:$C,0),MATCH($F$14,Работы!$8:$8,0)),"---")</f>
        <v>0</v>
      </c>
      <c r="G213" s="390"/>
      <c r="H213" s="390"/>
      <c r="K213" s="356"/>
    </row>
    <row r="214" spans="1:11" hidden="1" x14ac:dyDescent="0.25">
      <c r="A214" s="387" t="s">
        <v>437</v>
      </c>
      <c r="B214" s="389">
        <f>Работы!B108</f>
        <v>0</v>
      </c>
      <c r="C214" s="389">
        <f>Работы!C108</f>
        <v>0</v>
      </c>
      <c r="D214" s="388"/>
      <c r="E214" s="388"/>
      <c r="F214" s="376">
        <f>IFERROR(INDEX(Работы!$1:$1048576,MATCH($C214,Работы!$C:$C,0),MATCH($F$14,Работы!$8:$8,0)),"---")</f>
        <v>0</v>
      </c>
      <c r="G214" s="390"/>
      <c r="H214" s="390"/>
      <c r="K214" s="356"/>
    </row>
    <row r="215" spans="1:11" hidden="1" x14ac:dyDescent="0.25">
      <c r="A215" s="387" t="s">
        <v>437</v>
      </c>
      <c r="B215" s="389">
        <f>Работы!B109</f>
        <v>0</v>
      </c>
      <c r="C215" s="389">
        <f>Работы!C109</f>
        <v>0</v>
      </c>
      <c r="D215" s="388"/>
      <c r="E215" s="388"/>
      <c r="F215" s="376">
        <f>IFERROR(INDEX(Работы!$1:$1048576,MATCH($C215,Работы!$C:$C,0),MATCH($F$14,Работы!$8:$8,0)),"---")</f>
        <v>0</v>
      </c>
      <c r="G215" s="390"/>
      <c r="H215" s="390"/>
      <c r="K215" s="356"/>
    </row>
    <row r="216" spans="1:11" hidden="1" x14ac:dyDescent="0.25">
      <c r="A216" s="387" t="s">
        <v>437</v>
      </c>
      <c r="B216" s="389">
        <f>Работы!B110</f>
        <v>0</v>
      </c>
      <c r="C216" s="389">
        <f>Работы!C110</f>
        <v>0</v>
      </c>
      <c r="D216" s="388"/>
      <c r="E216" s="388"/>
      <c r="F216" s="376">
        <f>IFERROR(INDEX(Работы!$1:$1048576,MATCH($C216,Работы!$C:$C,0),MATCH($F$14,Работы!$8:$8,0)),"---")</f>
        <v>0</v>
      </c>
      <c r="G216" s="390"/>
      <c r="H216" s="390"/>
      <c r="K216" s="356"/>
    </row>
    <row r="217" spans="1:11" hidden="1" x14ac:dyDescent="0.25">
      <c r="A217" s="387" t="s">
        <v>437</v>
      </c>
      <c r="B217" s="389">
        <f>Работы!B111</f>
        <v>0</v>
      </c>
      <c r="C217" s="389">
        <f>Работы!C111</f>
        <v>0</v>
      </c>
      <c r="D217" s="388"/>
      <c r="E217" s="388"/>
      <c r="F217" s="376">
        <f>IFERROR(INDEX(Работы!$1:$1048576,MATCH($C217,Работы!$C:$C,0),MATCH($F$14,Работы!$8:$8,0)),"---")</f>
        <v>0</v>
      </c>
      <c r="G217" s="390"/>
      <c r="H217" s="390"/>
      <c r="K217" s="356"/>
    </row>
    <row r="218" spans="1:11" hidden="1" x14ac:dyDescent="0.25">
      <c r="A218" s="387" t="s">
        <v>437</v>
      </c>
      <c r="B218" s="389">
        <f>Работы!B112</f>
        <v>0</v>
      </c>
      <c r="C218" s="389">
        <f>Работы!C112</f>
        <v>0</v>
      </c>
      <c r="D218" s="388"/>
      <c r="E218" s="388"/>
      <c r="F218" s="376">
        <f>IFERROR(INDEX(Работы!$1:$1048576,MATCH($C218,Работы!$C:$C,0),MATCH($F$14,Работы!$8:$8,0)),"---")</f>
        <v>0</v>
      </c>
      <c r="G218" s="390"/>
      <c r="H218" s="390"/>
      <c r="K218" s="356"/>
    </row>
    <row r="219" spans="1:11" hidden="1" x14ac:dyDescent="0.25">
      <c r="A219" s="387" t="s">
        <v>437</v>
      </c>
      <c r="B219" s="389">
        <f>Работы!B113</f>
        <v>0</v>
      </c>
      <c r="C219" s="389">
        <f>Работы!C113</f>
        <v>0</v>
      </c>
      <c r="D219" s="388"/>
      <c r="E219" s="388"/>
      <c r="F219" s="376">
        <f>IFERROR(INDEX(Работы!$1:$1048576,MATCH($C219,Работы!$C:$C,0),MATCH($F$14,Работы!$8:$8,0)),"---")</f>
        <v>0</v>
      </c>
      <c r="G219" s="390"/>
      <c r="H219" s="390"/>
      <c r="K219" s="356"/>
    </row>
    <row r="220" spans="1:11" hidden="1" x14ac:dyDescent="0.25">
      <c r="A220" s="387" t="s">
        <v>437</v>
      </c>
      <c r="B220" s="389">
        <f>Работы!B114</f>
        <v>0</v>
      </c>
      <c r="C220" s="389">
        <f>Работы!C114</f>
        <v>0</v>
      </c>
      <c r="D220" s="388"/>
      <c r="E220" s="388"/>
      <c r="F220" s="376">
        <f>IFERROR(INDEX(Работы!$1:$1048576,MATCH($C220,Работы!$C:$C,0),MATCH($F$14,Работы!$8:$8,0)),"---")</f>
        <v>0</v>
      </c>
      <c r="G220" s="390"/>
      <c r="H220" s="390"/>
      <c r="K220" s="356"/>
    </row>
    <row r="221" spans="1:11" hidden="1" x14ac:dyDescent="0.25">
      <c r="A221" s="387" t="s">
        <v>437</v>
      </c>
      <c r="B221" s="389">
        <f>Работы!B115</f>
        <v>0</v>
      </c>
      <c r="C221" s="389">
        <f>Работы!C115</f>
        <v>0</v>
      </c>
      <c r="D221" s="388"/>
      <c r="E221" s="388"/>
      <c r="F221" s="376">
        <f>IFERROR(INDEX(Работы!$1:$1048576,MATCH($C221,Работы!$C:$C,0),MATCH($F$14,Работы!$8:$8,0)),"---")</f>
        <v>0</v>
      </c>
      <c r="G221" s="390"/>
      <c r="H221" s="390"/>
      <c r="K221" s="356"/>
    </row>
    <row r="222" spans="1:11" hidden="1" x14ac:dyDescent="0.25">
      <c r="A222" s="387" t="s">
        <v>437</v>
      </c>
      <c r="B222" s="389">
        <f>Работы!B116</f>
        <v>0</v>
      </c>
      <c r="C222" s="389">
        <f>Работы!C116</f>
        <v>0</v>
      </c>
      <c r="D222" s="388"/>
      <c r="E222" s="388"/>
      <c r="F222" s="376">
        <f>IFERROR(INDEX(Работы!$1:$1048576,MATCH($C222,Работы!$C:$C,0),MATCH($F$14,Работы!$8:$8,0)),"---")</f>
        <v>0</v>
      </c>
      <c r="G222" s="390"/>
      <c r="H222" s="390"/>
      <c r="K222" s="356"/>
    </row>
    <row r="223" spans="1:11" hidden="1" x14ac:dyDescent="0.25">
      <c r="A223" s="387" t="s">
        <v>437</v>
      </c>
      <c r="B223" s="389">
        <f>Работы!B117</f>
        <v>0</v>
      </c>
      <c r="C223" s="389">
        <f>Работы!C117</f>
        <v>0</v>
      </c>
      <c r="D223" s="388"/>
      <c r="E223" s="388"/>
      <c r="F223" s="376">
        <f>IFERROR(INDEX(Работы!$1:$1048576,MATCH($C223,Работы!$C:$C,0),MATCH($F$14,Работы!$8:$8,0)),"---")</f>
        <v>0</v>
      </c>
      <c r="G223" s="390"/>
      <c r="H223" s="390"/>
      <c r="K223" s="356"/>
    </row>
    <row r="224" spans="1:11" hidden="1" x14ac:dyDescent="0.25">
      <c r="A224" s="387" t="s">
        <v>437</v>
      </c>
      <c r="B224" s="389">
        <f>Работы!B118</f>
        <v>0</v>
      </c>
      <c r="C224" s="389">
        <f>Работы!C118</f>
        <v>0</v>
      </c>
      <c r="D224" s="388"/>
      <c r="E224" s="388"/>
      <c r="F224" s="376">
        <f>IFERROR(INDEX(Работы!$1:$1048576,MATCH($C224,Работы!$C:$C,0),MATCH($F$14,Работы!$8:$8,0)),"---")</f>
        <v>0</v>
      </c>
      <c r="G224" s="390"/>
      <c r="H224" s="390"/>
      <c r="K224" s="356"/>
    </row>
    <row r="225" spans="1:11" hidden="1" x14ac:dyDescent="0.25">
      <c r="A225" s="387" t="s">
        <v>437</v>
      </c>
      <c r="B225" s="389">
        <f>Работы!B119</f>
        <v>0</v>
      </c>
      <c r="C225" s="389">
        <f>Работы!C119</f>
        <v>0</v>
      </c>
      <c r="D225" s="388"/>
      <c r="E225" s="388"/>
      <c r="F225" s="376">
        <f>IFERROR(INDEX(Работы!$1:$1048576,MATCH($C225,Работы!$C:$C,0),MATCH($F$14,Работы!$8:$8,0)),"---")</f>
        <v>0</v>
      </c>
      <c r="G225" s="390"/>
      <c r="H225" s="390"/>
      <c r="K225" s="356"/>
    </row>
    <row r="226" spans="1:11" hidden="1" x14ac:dyDescent="0.25">
      <c r="A226" s="387" t="s">
        <v>437</v>
      </c>
      <c r="B226" s="389">
        <f>Работы!B120</f>
        <v>0</v>
      </c>
      <c r="C226" s="389">
        <f>Работы!C120</f>
        <v>0</v>
      </c>
      <c r="D226" s="388"/>
      <c r="E226" s="388"/>
      <c r="F226" s="376">
        <f>IFERROR(INDEX(Работы!$1:$1048576,MATCH($C226,Работы!$C:$C,0),MATCH($F$14,Работы!$8:$8,0)),"---")</f>
        <v>0</v>
      </c>
      <c r="G226" s="390"/>
      <c r="H226" s="390"/>
      <c r="K226" s="356"/>
    </row>
    <row r="227" spans="1:11" hidden="1" x14ac:dyDescent="0.25">
      <c r="A227" s="387" t="s">
        <v>437</v>
      </c>
      <c r="B227" s="389">
        <f>Работы!B121</f>
        <v>0</v>
      </c>
      <c r="C227" s="389">
        <f>Работы!C121</f>
        <v>0</v>
      </c>
      <c r="D227" s="388"/>
      <c r="E227" s="388"/>
      <c r="F227" s="376">
        <f>IFERROR(INDEX(Работы!$1:$1048576,MATCH($C227,Работы!$C:$C,0),MATCH($F$14,Работы!$8:$8,0)),"---")</f>
        <v>0</v>
      </c>
      <c r="G227" s="390"/>
      <c r="H227" s="390"/>
      <c r="K227" s="356"/>
    </row>
    <row r="228" spans="1:11" hidden="1" x14ac:dyDescent="0.25">
      <c r="A228" s="387" t="s">
        <v>437</v>
      </c>
      <c r="B228" s="389">
        <f>Работы!B122</f>
        <v>0</v>
      </c>
      <c r="C228" s="389">
        <f>Работы!C122</f>
        <v>0</v>
      </c>
      <c r="D228" s="388"/>
      <c r="E228" s="388"/>
      <c r="F228" s="376">
        <f>IFERROR(INDEX(Работы!$1:$1048576,MATCH($C228,Работы!$C:$C,0),MATCH($F$14,Работы!$8:$8,0)),"---")</f>
        <v>0</v>
      </c>
      <c r="G228" s="390"/>
      <c r="H228" s="390"/>
      <c r="K228" s="356"/>
    </row>
    <row r="229" spans="1:11" hidden="1" x14ac:dyDescent="0.25">
      <c r="A229" s="387" t="s">
        <v>437</v>
      </c>
      <c r="B229" s="389">
        <f>Работы!B123</f>
        <v>0</v>
      </c>
      <c r="C229" s="389">
        <f>Работы!C123</f>
        <v>0</v>
      </c>
      <c r="D229" s="388"/>
      <c r="E229" s="388"/>
      <c r="F229" s="376">
        <f>IFERROR(INDEX(Работы!$1:$1048576,MATCH($C229,Работы!$C:$C,0),MATCH($F$14,Работы!$8:$8,0)),"---")</f>
        <v>0</v>
      </c>
      <c r="G229" s="390"/>
      <c r="H229" s="390"/>
      <c r="K229" s="356"/>
    </row>
    <row r="230" spans="1:11" hidden="1" x14ac:dyDescent="0.25">
      <c r="A230" s="387" t="s">
        <v>437</v>
      </c>
      <c r="B230" s="389">
        <f>Работы!B124</f>
        <v>0</v>
      </c>
      <c r="C230" s="389">
        <f>Работы!C124</f>
        <v>0</v>
      </c>
      <c r="D230" s="388"/>
      <c r="E230" s="388"/>
      <c r="F230" s="376">
        <f>IFERROR(INDEX(Работы!$1:$1048576,MATCH($C230,Работы!$C:$C,0),MATCH($F$14,Работы!$8:$8,0)),"---")</f>
        <v>0</v>
      </c>
      <c r="G230" s="390"/>
      <c r="H230" s="390"/>
      <c r="K230" s="356"/>
    </row>
    <row r="231" spans="1:11" hidden="1" x14ac:dyDescent="0.25">
      <c r="A231" s="387" t="s">
        <v>437</v>
      </c>
      <c r="B231" s="389">
        <f>Работы!B125</f>
        <v>0</v>
      </c>
      <c r="C231" s="389">
        <f>Работы!C125</f>
        <v>0</v>
      </c>
      <c r="D231" s="388"/>
      <c r="E231" s="388"/>
      <c r="F231" s="376">
        <f>IFERROR(INDEX(Работы!$1:$1048576,MATCH($C231,Работы!$C:$C,0),MATCH($F$14,Работы!$8:$8,0)),"---")</f>
        <v>0</v>
      </c>
      <c r="G231" s="390"/>
      <c r="H231" s="390"/>
      <c r="K231" s="356"/>
    </row>
    <row r="232" spans="1:11" hidden="1" x14ac:dyDescent="0.25">
      <c r="A232" s="387" t="s">
        <v>437</v>
      </c>
      <c r="B232" s="389">
        <f>Работы!B126</f>
        <v>0</v>
      </c>
      <c r="C232" s="389">
        <f>Работы!C126</f>
        <v>0</v>
      </c>
      <c r="D232" s="388"/>
      <c r="E232" s="388"/>
      <c r="F232" s="376">
        <f>IFERROR(INDEX(Работы!$1:$1048576,MATCH($C232,Работы!$C:$C,0),MATCH($F$14,Работы!$8:$8,0)),"---")</f>
        <v>0</v>
      </c>
      <c r="G232" s="390"/>
      <c r="H232" s="390"/>
      <c r="K232" s="356"/>
    </row>
    <row r="233" spans="1:11" hidden="1" x14ac:dyDescent="0.25">
      <c r="A233" s="387" t="s">
        <v>437</v>
      </c>
      <c r="B233" s="389">
        <f>Работы!B127</f>
        <v>0</v>
      </c>
      <c r="C233" s="389">
        <f>Работы!C127</f>
        <v>0</v>
      </c>
      <c r="D233" s="388"/>
      <c r="E233" s="388"/>
      <c r="F233" s="376">
        <f>IFERROR(INDEX(Работы!$1:$1048576,MATCH($C233,Работы!$C:$C,0),MATCH($F$14,Работы!$8:$8,0)),"---")</f>
        <v>0</v>
      </c>
      <c r="G233" s="390"/>
      <c r="H233" s="390"/>
      <c r="K233" s="356"/>
    </row>
    <row r="234" spans="1:11" hidden="1" x14ac:dyDescent="0.25">
      <c r="A234" s="387" t="s">
        <v>437</v>
      </c>
      <c r="B234" s="389">
        <f>Работы!B128</f>
        <v>0</v>
      </c>
      <c r="C234" s="389">
        <f>Работы!C128</f>
        <v>0</v>
      </c>
      <c r="D234" s="388"/>
      <c r="E234" s="388"/>
      <c r="F234" s="376">
        <f>IFERROR(INDEX(Работы!$1:$1048576,MATCH($C234,Работы!$C:$C,0),MATCH($F$14,Работы!$8:$8,0)),"---")</f>
        <v>0</v>
      </c>
      <c r="G234" s="390"/>
      <c r="H234" s="390"/>
      <c r="K234" s="356"/>
    </row>
    <row r="235" spans="1:11" hidden="1" x14ac:dyDescent="0.25">
      <c r="A235" s="387" t="s">
        <v>437</v>
      </c>
      <c r="B235" s="389">
        <f>Работы!B129</f>
        <v>0</v>
      </c>
      <c r="C235" s="389">
        <f>Работы!C129</f>
        <v>0</v>
      </c>
      <c r="D235" s="388"/>
      <c r="E235" s="388"/>
      <c r="F235" s="376">
        <f>IFERROR(INDEX(Работы!$1:$1048576,MATCH($C235,Работы!$C:$C,0),MATCH($F$14,Работы!$8:$8,0)),"---")</f>
        <v>0</v>
      </c>
      <c r="G235" s="390"/>
      <c r="H235" s="390"/>
      <c r="K235" s="356"/>
    </row>
    <row r="236" spans="1:11" hidden="1" x14ac:dyDescent="0.25">
      <c r="A236" s="387" t="s">
        <v>437</v>
      </c>
      <c r="B236" s="389">
        <f>Работы!B130</f>
        <v>0</v>
      </c>
      <c r="C236" s="389">
        <f>Работы!C130</f>
        <v>0</v>
      </c>
      <c r="D236" s="388"/>
      <c r="E236" s="388"/>
      <c r="F236" s="376">
        <f>IFERROR(INDEX(Работы!$1:$1048576,MATCH($C236,Работы!$C:$C,0),MATCH($F$14,Работы!$8:$8,0)),"---")</f>
        <v>0</v>
      </c>
      <c r="G236" s="390"/>
      <c r="H236" s="390"/>
      <c r="K236" s="356"/>
    </row>
    <row r="237" spans="1:11" hidden="1" x14ac:dyDescent="0.25">
      <c r="A237" s="387" t="s">
        <v>437</v>
      </c>
      <c r="B237" s="389">
        <f>Работы!B131</f>
        <v>0</v>
      </c>
      <c r="C237" s="389">
        <f>Работы!C131</f>
        <v>0</v>
      </c>
      <c r="D237" s="388"/>
      <c r="E237" s="388"/>
      <c r="F237" s="376">
        <f>IFERROR(INDEX(Работы!$1:$1048576,MATCH($C237,Работы!$C:$C,0),MATCH($F$14,Работы!$8:$8,0)),"---")</f>
        <v>0</v>
      </c>
      <c r="G237" s="390"/>
      <c r="H237" s="390"/>
      <c r="K237" s="356"/>
    </row>
    <row r="238" spans="1:11" hidden="1" x14ac:dyDescent="0.25">
      <c r="A238" s="387" t="s">
        <v>437</v>
      </c>
      <c r="B238" s="389">
        <f>Работы!B132</f>
        <v>0</v>
      </c>
      <c r="C238" s="389">
        <f>Работы!C132</f>
        <v>0</v>
      </c>
      <c r="D238" s="388"/>
      <c r="E238" s="388"/>
      <c r="F238" s="376">
        <f>IFERROR(INDEX(Работы!$1:$1048576,MATCH($C238,Работы!$C:$C,0),MATCH($F$14,Работы!$8:$8,0)),"---")</f>
        <v>0</v>
      </c>
      <c r="G238" s="390"/>
      <c r="H238" s="390"/>
      <c r="K238" s="356"/>
    </row>
    <row r="239" spans="1:11" hidden="1" x14ac:dyDescent="0.25">
      <c r="A239" s="387" t="s">
        <v>437</v>
      </c>
      <c r="B239" s="389">
        <f>Работы!B133</f>
        <v>0</v>
      </c>
      <c r="C239" s="389">
        <f>Работы!C133</f>
        <v>0</v>
      </c>
      <c r="D239" s="388"/>
      <c r="E239" s="388"/>
      <c r="F239" s="376">
        <f>IFERROR(INDEX(Работы!$1:$1048576,MATCH($C239,Работы!$C:$C,0),MATCH($F$14,Работы!$8:$8,0)),"---")</f>
        <v>0</v>
      </c>
      <c r="G239" s="390"/>
      <c r="H239" s="390"/>
      <c r="K239" s="356"/>
    </row>
    <row r="240" spans="1:11" hidden="1" x14ac:dyDescent="0.25">
      <c r="A240" s="387" t="s">
        <v>437</v>
      </c>
      <c r="B240" s="389">
        <f>Работы!B134</f>
        <v>0</v>
      </c>
      <c r="C240" s="389">
        <f>Работы!C134</f>
        <v>0</v>
      </c>
      <c r="D240" s="388"/>
      <c r="E240" s="388"/>
      <c r="F240" s="376">
        <f>IFERROR(INDEX(Работы!$1:$1048576,MATCH($C240,Работы!$C:$C,0),MATCH($F$14,Работы!$8:$8,0)),"---")</f>
        <v>0</v>
      </c>
      <c r="G240" s="390"/>
      <c r="H240" s="390"/>
      <c r="K240" s="356"/>
    </row>
    <row r="241" spans="1:11" hidden="1" x14ac:dyDescent="0.25">
      <c r="A241" s="387" t="s">
        <v>437</v>
      </c>
      <c r="B241" s="389">
        <f>Работы!B135</f>
        <v>0</v>
      </c>
      <c r="C241" s="389">
        <f>Работы!C135</f>
        <v>0</v>
      </c>
      <c r="D241" s="388"/>
      <c r="E241" s="388"/>
      <c r="F241" s="376">
        <f>IFERROR(INDEX(Работы!$1:$1048576,MATCH($C241,Работы!$C:$C,0),MATCH($F$14,Работы!$8:$8,0)),"---")</f>
        <v>0</v>
      </c>
      <c r="G241" s="390"/>
      <c r="H241" s="390"/>
      <c r="K241" s="356"/>
    </row>
    <row r="242" spans="1:11" hidden="1" x14ac:dyDescent="0.25">
      <c r="A242" s="387" t="s">
        <v>437</v>
      </c>
      <c r="B242" s="389">
        <f>Работы!B136</f>
        <v>0</v>
      </c>
      <c r="C242" s="389">
        <f>Работы!C136</f>
        <v>0</v>
      </c>
      <c r="D242" s="388"/>
      <c r="E242" s="388"/>
      <c r="F242" s="376">
        <f>IFERROR(INDEX(Работы!$1:$1048576,MATCH($C242,Работы!$C:$C,0),MATCH($F$14,Работы!$8:$8,0)),"---")</f>
        <v>0</v>
      </c>
      <c r="G242" s="390"/>
      <c r="H242" s="390"/>
      <c r="K242" s="356"/>
    </row>
    <row r="243" spans="1:11" hidden="1" x14ac:dyDescent="0.25">
      <c r="A243" s="387" t="s">
        <v>437</v>
      </c>
      <c r="B243" s="389">
        <f>Работы!B137</f>
        <v>0</v>
      </c>
      <c r="C243" s="389">
        <f>Работы!C137</f>
        <v>0</v>
      </c>
      <c r="D243" s="388"/>
      <c r="E243" s="388"/>
      <c r="F243" s="376">
        <f>IFERROR(INDEX(Работы!$1:$1048576,MATCH($C243,Работы!$C:$C,0),MATCH($F$14,Работы!$8:$8,0)),"---")</f>
        <v>0</v>
      </c>
      <c r="G243" s="390"/>
      <c r="H243" s="390"/>
      <c r="K243" s="356"/>
    </row>
    <row r="244" spans="1:11" hidden="1" x14ac:dyDescent="0.25">
      <c r="A244" s="387" t="s">
        <v>437</v>
      </c>
      <c r="B244" s="389">
        <f>Работы!B138</f>
        <v>0</v>
      </c>
      <c r="C244" s="389">
        <f>Работы!C138</f>
        <v>0</v>
      </c>
      <c r="D244" s="388"/>
      <c r="E244" s="388"/>
      <c r="F244" s="376">
        <f>IFERROR(INDEX(Работы!$1:$1048576,MATCH($C244,Работы!$C:$C,0),MATCH($F$14,Работы!$8:$8,0)),"---")</f>
        <v>0</v>
      </c>
      <c r="G244" s="390"/>
      <c r="H244" s="390"/>
      <c r="K244" s="356"/>
    </row>
    <row r="245" spans="1:11" hidden="1" x14ac:dyDescent="0.25">
      <c r="A245" s="387" t="s">
        <v>437</v>
      </c>
      <c r="B245" s="389">
        <f>Работы!B139</f>
        <v>0</v>
      </c>
      <c r="C245" s="389">
        <f>Работы!C139</f>
        <v>0</v>
      </c>
      <c r="D245" s="388"/>
      <c r="E245" s="388"/>
      <c r="F245" s="376">
        <f>IFERROR(INDEX(Работы!$1:$1048576,MATCH($C245,Работы!$C:$C,0),MATCH($F$14,Работы!$8:$8,0)),"---")</f>
        <v>0</v>
      </c>
      <c r="G245" s="390"/>
      <c r="H245" s="390"/>
      <c r="K245" s="356"/>
    </row>
    <row r="246" spans="1:11" hidden="1" x14ac:dyDescent="0.25">
      <c r="A246" s="387" t="s">
        <v>437</v>
      </c>
      <c r="B246" s="389">
        <f>Работы!B140</f>
        <v>0</v>
      </c>
      <c r="C246" s="389">
        <f>Работы!C140</f>
        <v>0</v>
      </c>
      <c r="D246" s="388"/>
      <c r="E246" s="388"/>
      <c r="F246" s="376">
        <f>IFERROR(INDEX(Работы!$1:$1048576,MATCH($C246,Работы!$C:$C,0),MATCH($F$14,Работы!$8:$8,0)),"---")</f>
        <v>0</v>
      </c>
      <c r="G246" s="390"/>
      <c r="H246" s="390"/>
      <c r="K246" s="356"/>
    </row>
    <row r="247" spans="1:11" hidden="1" x14ac:dyDescent="0.25">
      <c r="A247" s="387" t="s">
        <v>437</v>
      </c>
      <c r="B247" s="389">
        <f>Работы!B141</f>
        <v>0</v>
      </c>
      <c r="C247" s="389">
        <f>Работы!C141</f>
        <v>0</v>
      </c>
      <c r="D247" s="388"/>
      <c r="E247" s="388"/>
      <c r="F247" s="376">
        <f>IFERROR(INDEX(Работы!$1:$1048576,MATCH($C247,Работы!$C:$C,0),MATCH($F$14,Работы!$8:$8,0)),"---")</f>
        <v>0</v>
      </c>
      <c r="G247" s="390"/>
      <c r="H247" s="390"/>
      <c r="K247" s="356"/>
    </row>
    <row r="248" spans="1:11" hidden="1" x14ac:dyDescent="0.25">
      <c r="A248" s="387" t="s">
        <v>437</v>
      </c>
      <c r="B248" s="389">
        <f>Работы!B142</f>
        <v>0</v>
      </c>
      <c r="C248" s="389">
        <f>Работы!C142</f>
        <v>0</v>
      </c>
      <c r="D248" s="388"/>
      <c r="E248" s="388"/>
      <c r="F248" s="376">
        <f>IFERROR(INDEX(Работы!$1:$1048576,MATCH($C248,Работы!$C:$C,0),MATCH($F$14,Работы!$8:$8,0)),"---")</f>
        <v>0</v>
      </c>
      <c r="G248" s="390"/>
      <c r="H248" s="390"/>
      <c r="K248" s="356"/>
    </row>
    <row r="249" spans="1:11" hidden="1" x14ac:dyDescent="0.25">
      <c r="A249" s="387" t="s">
        <v>437</v>
      </c>
      <c r="B249" s="389">
        <f>Работы!B143</f>
        <v>0</v>
      </c>
      <c r="C249" s="389">
        <f>Работы!C143</f>
        <v>0</v>
      </c>
      <c r="D249" s="388"/>
      <c r="E249" s="388"/>
      <c r="F249" s="376">
        <f>IFERROR(INDEX(Работы!$1:$1048576,MATCH($C249,Работы!$C:$C,0),MATCH($F$14,Работы!$8:$8,0)),"---")</f>
        <v>0</v>
      </c>
      <c r="G249" s="390"/>
      <c r="H249" s="390"/>
      <c r="K249" s="356"/>
    </row>
    <row r="250" spans="1:11" hidden="1" x14ac:dyDescent="0.25">
      <c r="A250" s="387" t="s">
        <v>437</v>
      </c>
      <c r="B250" s="389">
        <f>Работы!B144</f>
        <v>0</v>
      </c>
      <c r="C250" s="389">
        <f>Работы!C144</f>
        <v>0</v>
      </c>
      <c r="D250" s="388"/>
      <c r="E250" s="388"/>
      <c r="F250" s="376">
        <f>IFERROR(INDEX(Работы!$1:$1048576,MATCH($C250,Работы!$C:$C,0),MATCH($F$14,Работы!$8:$8,0)),"---")</f>
        <v>0</v>
      </c>
      <c r="G250" s="390"/>
      <c r="H250" s="390"/>
      <c r="K250" s="356"/>
    </row>
    <row r="251" spans="1:11" hidden="1" x14ac:dyDescent="0.25">
      <c r="A251" s="387" t="s">
        <v>437</v>
      </c>
      <c r="B251" s="389">
        <f>Работы!B145</f>
        <v>0</v>
      </c>
      <c r="C251" s="389">
        <f>Работы!C145</f>
        <v>0</v>
      </c>
      <c r="D251" s="388"/>
      <c r="E251" s="388"/>
      <c r="F251" s="376">
        <f>IFERROR(INDEX(Работы!$1:$1048576,MATCH($C251,Работы!$C:$C,0),MATCH($F$14,Работы!$8:$8,0)),"---")</f>
        <v>0</v>
      </c>
      <c r="G251" s="390"/>
      <c r="H251" s="390"/>
      <c r="K251" s="356"/>
    </row>
    <row r="252" spans="1:11" hidden="1" x14ac:dyDescent="0.25">
      <c r="A252" s="387" t="s">
        <v>437</v>
      </c>
      <c r="B252" s="389">
        <f>Работы!B146</f>
        <v>0</v>
      </c>
      <c r="C252" s="389">
        <f>Работы!C146</f>
        <v>0</v>
      </c>
      <c r="D252" s="388"/>
      <c r="E252" s="388"/>
      <c r="F252" s="376">
        <f>IFERROR(INDEX(Работы!$1:$1048576,MATCH($C252,Работы!$C:$C,0),MATCH($F$14,Работы!$8:$8,0)),"---")</f>
        <v>0</v>
      </c>
      <c r="G252" s="390"/>
      <c r="H252" s="390"/>
      <c r="K252" s="356"/>
    </row>
    <row r="253" spans="1:11" hidden="1" x14ac:dyDescent="0.25">
      <c r="A253" s="387" t="s">
        <v>437</v>
      </c>
      <c r="B253" s="389">
        <f>Работы!B147</f>
        <v>0</v>
      </c>
      <c r="C253" s="389">
        <f>Работы!C147</f>
        <v>0</v>
      </c>
      <c r="D253" s="388"/>
      <c r="E253" s="388"/>
      <c r="F253" s="376">
        <f>IFERROR(INDEX(Работы!$1:$1048576,MATCH($C253,Работы!$C:$C,0),MATCH($F$14,Работы!$8:$8,0)),"---")</f>
        <v>0</v>
      </c>
      <c r="G253" s="390"/>
      <c r="H253" s="390"/>
      <c r="K253" s="356"/>
    </row>
    <row r="254" spans="1:11" hidden="1" x14ac:dyDescent="0.25">
      <c r="A254" s="387" t="s">
        <v>437</v>
      </c>
      <c r="B254" s="389">
        <f>Работы!B148</f>
        <v>0</v>
      </c>
      <c r="C254" s="389">
        <f>Работы!C148</f>
        <v>0</v>
      </c>
      <c r="D254" s="388"/>
      <c r="E254" s="388"/>
      <c r="F254" s="376">
        <f>IFERROR(INDEX(Работы!$1:$1048576,MATCH($C254,Работы!$C:$C,0),MATCH($F$14,Работы!$8:$8,0)),"---")</f>
        <v>0</v>
      </c>
      <c r="G254" s="390"/>
      <c r="H254" s="390"/>
      <c r="K254" s="356"/>
    </row>
    <row r="255" spans="1:11" hidden="1" x14ac:dyDescent="0.25">
      <c r="A255" s="387" t="s">
        <v>437</v>
      </c>
      <c r="B255" s="389">
        <f>Работы!B149</f>
        <v>0</v>
      </c>
      <c r="C255" s="389">
        <f>Работы!C149</f>
        <v>0</v>
      </c>
      <c r="D255" s="388"/>
      <c r="E255" s="388"/>
      <c r="F255" s="376">
        <f>IFERROR(INDEX(Работы!$1:$1048576,MATCH($C255,Работы!$C:$C,0),MATCH($F$14,Работы!$8:$8,0)),"---")</f>
        <v>0</v>
      </c>
      <c r="G255" s="390"/>
      <c r="H255" s="390"/>
      <c r="K255" s="356"/>
    </row>
    <row r="256" spans="1:11" hidden="1" x14ac:dyDescent="0.25">
      <c r="A256" s="387" t="s">
        <v>437</v>
      </c>
      <c r="B256" s="389">
        <f>Работы!B150</f>
        <v>0</v>
      </c>
      <c r="C256" s="389">
        <f>Работы!C150</f>
        <v>0</v>
      </c>
      <c r="D256" s="388"/>
      <c r="E256" s="388"/>
      <c r="F256" s="376">
        <f>IFERROR(INDEX(Работы!$1:$1048576,MATCH($C256,Работы!$C:$C,0),MATCH($F$14,Работы!$8:$8,0)),"---")</f>
        <v>0</v>
      </c>
      <c r="G256" s="390"/>
      <c r="H256" s="390"/>
      <c r="K256" s="356"/>
    </row>
    <row r="257" spans="1:11" hidden="1" x14ac:dyDescent="0.25">
      <c r="A257" s="387" t="s">
        <v>437</v>
      </c>
      <c r="B257" s="389">
        <f>Работы!B151</f>
        <v>0</v>
      </c>
      <c r="C257" s="389">
        <f>Работы!C151</f>
        <v>0</v>
      </c>
      <c r="D257" s="388"/>
      <c r="E257" s="388"/>
      <c r="F257" s="376">
        <f>IFERROR(INDEX(Работы!$1:$1048576,MATCH($C257,Работы!$C:$C,0),MATCH($F$14,Работы!$8:$8,0)),"---")</f>
        <v>0</v>
      </c>
      <c r="G257" s="390"/>
      <c r="H257" s="390"/>
      <c r="K257" s="356"/>
    </row>
    <row r="258" spans="1:11" hidden="1" x14ac:dyDescent="0.25">
      <c r="A258" s="387" t="s">
        <v>437</v>
      </c>
      <c r="B258" s="389">
        <f>Работы!B152</f>
        <v>0</v>
      </c>
      <c r="C258" s="389">
        <f>Работы!C152</f>
        <v>0</v>
      </c>
      <c r="D258" s="388"/>
      <c r="E258" s="388"/>
      <c r="F258" s="376">
        <f>IFERROR(INDEX(Работы!$1:$1048576,MATCH($C258,Работы!$C:$C,0),MATCH($F$14,Работы!$8:$8,0)),"---")</f>
        <v>0</v>
      </c>
      <c r="G258" s="390"/>
      <c r="H258" s="390"/>
      <c r="K258" s="356"/>
    </row>
    <row r="259" spans="1:11" hidden="1" x14ac:dyDescent="0.25">
      <c r="A259" s="387" t="s">
        <v>437</v>
      </c>
      <c r="B259" s="389">
        <f>Работы!B153</f>
        <v>0</v>
      </c>
      <c r="C259" s="389">
        <f>Работы!C153</f>
        <v>0</v>
      </c>
      <c r="D259" s="388"/>
      <c r="E259" s="388"/>
      <c r="F259" s="376">
        <f>IFERROR(INDEX(Работы!$1:$1048576,MATCH($C259,Работы!$C:$C,0),MATCH($F$14,Работы!$8:$8,0)),"---")</f>
        <v>0</v>
      </c>
      <c r="G259" s="390"/>
      <c r="H259" s="390"/>
      <c r="K259" s="356"/>
    </row>
    <row r="260" spans="1:11" hidden="1" x14ac:dyDescent="0.25">
      <c r="A260" s="387" t="s">
        <v>437</v>
      </c>
      <c r="B260" s="389">
        <f>Работы!B154</f>
        <v>0</v>
      </c>
      <c r="C260" s="389">
        <f>Работы!C154</f>
        <v>0</v>
      </c>
      <c r="D260" s="388"/>
      <c r="E260" s="388"/>
      <c r="F260" s="376">
        <f>IFERROR(INDEX(Работы!$1:$1048576,MATCH($C260,Работы!$C:$C,0),MATCH($F$14,Работы!$8:$8,0)),"---")</f>
        <v>0</v>
      </c>
      <c r="G260" s="390"/>
      <c r="H260" s="390"/>
      <c r="K260" s="356"/>
    </row>
    <row r="261" spans="1:11" hidden="1" x14ac:dyDescent="0.25">
      <c r="A261" s="387" t="s">
        <v>437</v>
      </c>
      <c r="B261" s="389">
        <f>Работы!B155</f>
        <v>0</v>
      </c>
      <c r="C261" s="389">
        <f>Работы!C155</f>
        <v>0</v>
      </c>
      <c r="D261" s="388"/>
      <c r="E261" s="388"/>
      <c r="F261" s="376">
        <f>IFERROR(INDEX(Работы!$1:$1048576,MATCH($C261,Работы!$C:$C,0),MATCH($F$14,Работы!$8:$8,0)),"---")</f>
        <v>0</v>
      </c>
      <c r="G261" s="390"/>
      <c r="H261" s="390"/>
      <c r="K261" s="356"/>
    </row>
    <row r="262" spans="1:11" hidden="1" x14ac:dyDescent="0.25">
      <c r="A262" s="387" t="s">
        <v>437</v>
      </c>
      <c r="B262" s="389">
        <f>Работы!B156</f>
        <v>0</v>
      </c>
      <c r="C262" s="389">
        <f>Работы!C156</f>
        <v>0</v>
      </c>
      <c r="D262" s="388"/>
      <c r="E262" s="388"/>
      <c r="F262" s="376">
        <f>IFERROR(INDEX(Работы!$1:$1048576,MATCH($C262,Работы!$C:$C,0),MATCH($F$14,Работы!$8:$8,0)),"---")</f>
        <v>0</v>
      </c>
      <c r="G262" s="390"/>
      <c r="H262" s="390"/>
      <c r="K262" s="356"/>
    </row>
    <row r="263" spans="1:11" hidden="1" x14ac:dyDescent="0.25">
      <c r="A263" s="387" t="s">
        <v>437</v>
      </c>
      <c r="B263" s="389">
        <f>Работы!B157</f>
        <v>0</v>
      </c>
      <c r="C263" s="389">
        <f>Работы!C157</f>
        <v>0</v>
      </c>
      <c r="D263" s="388"/>
      <c r="E263" s="388"/>
      <c r="F263" s="376">
        <f>IFERROR(INDEX(Работы!$1:$1048576,MATCH($C263,Работы!$C:$C,0),MATCH($F$14,Работы!$8:$8,0)),"---")</f>
        <v>0</v>
      </c>
      <c r="G263" s="390"/>
      <c r="H263" s="390"/>
      <c r="K263" s="356"/>
    </row>
    <row r="264" spans="1:11" hidden="1" x14ac:dyDescent="0.25">
      <c r="A264" s="387" t="s">
        <v>437</v>
      </c>
      <c r="B264" s="389">
        <f>Работы!B158</f>
        <v>0</v>
      </c>
      <c r="C264" s="389">
        <f>Работы!C158</f>
        <v>0</v>
      </c>
      <c r="D264" s="388"/>
      <c r="E264" s="388"/>
      <c r="F264" s="376">
        <f>IFERROR(INDEX(Работы!$1:$1048576,MATCH($C264,Работы!$C:$C,0),MATCH($F$14,Работы!$8:$8,0)),"---")</f>
        <v>0</v>
      </c>
      <c r="G264" s="390"/>
      <c r="H264" s="390"/>
      <c r="K264" s="356"/>
    </row>
    <row r="265" spans="1:11" hidden="1" x14ac:dyDescent="0.25">
      <c r="A265" s="387" t="s">
        <v>437</v>
      </c>
      <c r="B265" s="389">
        <f>Работы!B159</f>
        <v>0</v>
      </c>
      <c r="C265" s="389">
        <f>Работы!C159</f>
        <v>0</v>
      </c>
      <c r="D265" s="388"/>
      <c r="E265" s="388"/>
      <c r="F265" s="376">
        <f>IFERROR(INDEX(Работы!$1:$1048576,MATCH($C265,Работы!$C:$C,0),MATCH($F$14,Работы!$8:$8,0)),"---")</f>
        <v>0</v>
      </c>
      <c r="G265" s="390"/>
      <c r="H265" s="390"/>
      <c r="K265" s="356"/>
    </row>
    <row r="266" spans="1:11" hidden="1" x14ac:dyDescent="0.25">
      <c r="A266" s="387" t="s">
        <v>437</v>
      </c>
      <c r="B266" s="389">
        <f>Работы!B160</f>
        <v>0</v>
      </c>
      <c r="C266" s="389">
        <f>Работы!C160</f>
        <v>0</v>
      </c>
      <c r="D266" s="388"/>
      <c r="E266" s="388"/>
      <c r="F266" s="376">
        <f>IFERROR(INDEX(Работы!$1:$1048576,MATCH($C266,Работы!$C:$C,0),MATCH($F$14,Работы!$8:$8,0)),"---")</f>
        <v>0</v>
      </c>
      <c r="G266" s="390"/>
      <c r="H266" s="390"/>
      <c r="K266" s="356"/>
    </row>
    <row r="267" spans="1:11" hidden="1" x14ac:dyDescent="0.25">
      <c r="A267" s="387" t="s">
        <v>437</v>
      </c>
      <c r="B267" s="389">
        <f>Работы!B161</f>
        <v>0</v>
      </c>
      <c r="C267" s="389">
        <f>Работы!C161</f>
        <v>0</v>
      </c>
      <c r="D267" s="388"/>
      <c r="E267" s="388"/>
      <c r="F267" s="376">
        <f>IFERROR(INDEX(Работы!$1:$1048576,MATCH($C267,Работы!$C:$C,0),MATCH($F$14,Работы!$8:$8,0)),"---")</f>
        <v>0</v>
      </c>
      <c r="G267" s="390"/>
      <c r="H267" s="390"/>
      <c r="K267" s="356"/>
    </row>
    <row r="268" spans="1:11" hidden="1" x14ac:dyDescent="0.25">
      <c r="A268" s="387" t="s">
        <v>437</v>
      </c>
      <c r="B268" s="389">
        <f>Работы!B162</f>
        <v>0</v>
      </c>
      <c r="C268" s="389">
        <f>Работы!C162</f>
        <v>0</v>
      </c>
      <c r="D268" s="388"/>
      <c r="E268" s="388"/>
      <c r="F268" s="376">
        <f>IFERROR(INDEX(Работы!$1:$1048576,MATCH($C268,Работы!$C:$C,0),MATCH($F$14,Работы!$8:$8,0)),"---")</f>
        <v>0</v>
      </c>
      <c r="G268" s="390"/>
      <c r="H268" s="390"/>
      <c r="K268" s="356"/>
    </row>
    <row r="269" spans="1:11" hidden="1" x14ac:dyDescent="0.25">
      <c r="A269" s="387" t="s">
        <v>437</v>
      </c>
      <c r="B269" s="389">
        <f>Работы!B163</f>
        <v>0</v>
      </c>
      <c r="C269" s="389">
        <f>Работы!C163</f>
        <v>0</v>
      </c>
      <c r="D269" s="388"/>
      <c r="E269" s="388"/>
      <c r="F269" s="376">
        <f>IFERROR(INDEX(Работы!$1:$1048576,MATCH($C269,Работы!$C:$C,0),MATCH($F$14,Работы!$8:$8,0)),"---")</f>
        <v>0</v>
      </c>
      <c r="G269" s="390"/>
      <c r="H269" s="390"/>
      <c r="K269" s="356"/>
    </row>
    <row r="270" spans="1:11" hidden="1" x14ac:dyDescent="0.25">
      <c r="A270" s="387" t="s">
        <v>437</v>
      </c>
      <c r="B270" s="389">
        <f>Работы!B164</f>
        <v>0</v>
      </c>
      <c r="C270" s="389">
        <f>Работы!C164</f>
        <v>0</v>
      </c>
      <c r="D270" s="388"/>
      <c r="E270" s="388"/>
      <c r="F270" s="376">
        <f>IFERROR(INDEX(Работы!$1:$1048576,MATCH($C270,Работы!$C:$C,0),MATCH($F$14,Работы!$8:$8,0)),"---")</f>
        <v>0</v>
      </c>
      <c r="G270" s="390"/>
      <c r="H270" s="390"/>
      <c r="K270" s="356"/>
    </row>
    <row r="271" spans="1:11" hidden="1" x14ac:dyDescent="0.25">
      <c r="A271" s="387" t="s">
        <v>437</v>
      </c>
      <c r="B271" s="389">
        <f>Работы!B165</f>
        <v>0</v>
      </c>
      <c r="C271" s="389">
        <f>Работы!C165</f>
        <v>0</v>
      </c>
      <c r="D271" s="388"/>
      <c r="E271" s="388"/>
      <c r="F271" s="376">
        <f>IFERROR(INDEX(Работы!$1:$1048576,MATCH($C271,Работы!$C:$C,0),MATCH($F$14,Работы!$8:$8,0)),"---")</f>
        <v>0</v>
      </c>
      <c r="G271" s="390"/>
      <c r="H271" s="390"/>
      <c r="K271" s="356"/>
    </row>
    <row r="272" spans="1:11" hidden="1" x14ac:dyDescent="0.25">
      <c r="A272" s="387" t="s">
        <v>437</v>
      </c>
      <c r="B272" s="389">
        <f>Работы!B166</f>
        <v>0</v>
      </c>
      <c r="C272" s="389">
        <f>Работы!C166</f>
        <v>0</v>
      </c>
      <c r="D272" s="388"/>
      <c r="E272" s="388"/>
      <c r="F272" s="376">
        <f>IFERROR(INDEX(Работы!$1:$1048576,MATCH($C272,Работы!$C:$C,0),MATCH($F$14,Работы!$8:$8,0)),"---")</f>
        <v>0</v>
      </c>
      <c r="G272" s="390"/>
      <c r="H272" s="390"/>
      <c r="K272" s="356"/>
    </row>
    <row r="273" spans="1:11" hidden="1" x14ac:dyDescent="0.25">
      <c r="A273" s="387" t="s">
        <v>437</v>
      </c>
      <c r="B273" s="389">
        <f>Работы!B167</f>
        <v>0</v>
      </c>
      <c r="C273" s="389">
        <f>Работы!C167</f>
        <v>0</v>
      </c>
      <c r="D273" s="388"/>
      <c r="E273" s="388"/>
      <c r="F273" s="376">
        <f>IFERROR(INDEX(Работы!$1:$1048576,MATCH($C273,Работы!$C:$C,0),MATCH($F$14,Работы!$8:$8,0)),"---")</f>
        <v>0</v>
      </c>
      <c r="G273" s="390"/>
      <c r="H273" s="390"/>
      <c r="K273" s="356"/>
    </row>
    <row r="274" spans="1:11" hidden="1" x14ac:dyDescent="0.25">
      <c r="A274" s="387" t="s">
        <v>437</v>
      </c>
      <c r="B274" s="389">
        <f>Работы!B168</f>
        <v>0</v>
      </c>
      <c r="C274" s="389">
        <f>Работы!C168</f>
        <v>0</v>
      </c>
      <c r="D274" s="388"/>
      <c r="E274" s="388"/>
      <c r="F274" s="376">
        <f>IFERROR(INDEX(Работы!$1:$1048576,MATCH($C274,Работы!$C:$C,0),MATCH($F$14,Работы!$8:$8,0)),"---")</f>
        <v>0</v>
      </c>
      <c r="G274" s="390"/>
      <c r="H274" s="390"/>
      <c r="K274" s="356"/>
    </row>
    <row r="275" spans="1:11" hidden="1" x14ac:dyDescent="0.25">
      <c r="A275" s="387" t="s">
        <v>437</v>
      </c>
      <c r="B275" s="389">
        <f>Работы!B169</f>
        <v>0</v>
      </c>
      <c r="C275" s="389">
        <f>Работы!C169</f>
        <v>0</v>
      </c>
      <c r="D275" s="388"/>
      <c r="E275" s="388"/>
      <c r="F275" s="376">
        <f>IFERROR(INDEX(Работы!$1:$1048576,MATCH($C275,Работы!$C:$C,0),MATCH($F$14,Работы!$8:$8,0)),"---")</f>
        <v>0</v>
      </c>
      <c r="G275" s="390"/>
      <c r="H275" s="390"/>
      <c r="K275" s="356"/>
    </row>
    <row r="276" spans="1:11" hidden="1" x14ac:dyDescent="0.25">
      <c r="A276" s="387" t="s">
        <v>437</v>
      </c>
      <c r="B276" s="389">
        <f>Работы!B170</f>
        <v>0</v>
      </c>
      <c r="C276" s="389">
        <f>Работы!C170</f>
        <v>0</v>
      </c>
      <c r="D276" s="388"/>
      <c r="E276" s="388"/>
      <c r="F276" s="376">
        <f>IFERROR(INDEX(Работы!$1:$1048576,MATCH($C276,Работы!$C:$C,0),MATCH($F$14,Работы!$8:$8,0)),"---")</f>
        <v>0</v>
      </c>
      <c r="G276" s="390"/>
      <c r="H276" s="390"/>
      <c r="K276" s="356"/>
    </row>
    <row r="277" spans="1:11" hidden="1" x14ac:dyDescent="0.25">
      <c r="A277" s="387" t="s">
        <v>437</v>
      </c>
      <c r="B277" s="389">
        <f>Работы!B171</f>
        <v>0</v>
      </c>
      <c r="C277" s="389">
        <f>Работы!C171</f>
        <v>0</v>
      </c>
      <c r="D277" s="388"/>
      <c r="E277" s="388"/>
      <c r="F277" s="376">
        <f>IFERROR(INDEX(Работы!$1:$1048576,MATCH($C277,Работы!$C:$C,0),MATCH($F$14,Работы!$8:$8,0)),"---")</f>
        <v>0</v>
      </c>
      <c r="G277" s="390"/>
      <c r="H277" s="390"/>
      <c r="K277" s="356"/>
    </row>
    <row r="278" spans="1:11" hidden="1" x14ac:dyDescent="0.25">
      <c r="A278" s="387" t="s">
        <v>437</v>
      </c>
      <c r="B278" s="389">
        <f>Работы!B172</f>
        <v>0</v>
      </c>
      <c r="C278" s="389">
        <f>Работы!C172</f>
        <v>0</v>
      </c>
      <c r="D278" s="388"/>
      <c r="E278" s="388"/>
      <c r="F278" s="376">
        <f>IFERROR(INDEX(Работы!$1:$1048576,MATCH($C278,Работы!$C:$C,0),MATCH($F$14,Работы!$8:$8,0)),"---")</f>
        <v>0</v>
      </c>
      <c r="G278" s="390"/>
      <c r="H278" s="390"/>
      <c r="K278" s="356"/>
    </row>
    <row r="279" spans="1:11" hidden="1" x14ac:dyDescent="0.25">
      <c r="A279" s="387" t="s">
        <v>437</v>
      </c>
      <c r="B279" s="389">
        <f>Работы!B173</f>
        <v>0</v>
      </c>
      <c r="C279" s="389">
        <f>Работы!C173</f>
        <v>0</v>
      </c>
      <c r="D279" s="388"/>
      <c r="E279" s="388"/>
      <c r="F279" s="376">
        <f>IFERROR(INDEX(Работы!$1:$1048576,MATCH($C279,Работы!$C:$C,0),MATCH($F$14,Работы!$8:$8,0)),"---")</f>
        <v>0</v>
      </c>
      <c r="G279" s="390"/>
      <c r="H279" s="390"/>
      <c r="K279" s="356"/>
    </row>
    <row r="280" spans="1:11" hidden="1" x14ac:dyDescent="0.25">
      <c r="A280" s="387" t="s">
        <v>437</v>
      </c>
      <c r="B280" s="389">
        <f>Работы!B174</f>
        <v>0</v>
      </c>
      <c r="C280" s="389">
        <f>Работы!C174</f>
        <v>0</v>
      </c>
      <c r="D280" s="388"/>
      <c r="E280" s="388"/>
      <c r="F280" s="376">
        <f>IFERROR(INDEX(Работы!$1:$1048576,MATCH($C280,Работы!$C:$C,0),MATCH($F$14,Работы!$8:$8,0)),"---")</f>
        <v>0</v>
      </c>
      <c r="G280" s="390"/>
      <c r="H280" s="390"/>
      <c r="K280" s="356"/>
    </row>
    <row r="281" spans="1:11" hidden="1" x14ac:dyDescent="0.25">
      <c r="A281" s="387" t="s">
        <v>437</v>
      </c>
      <c r="B281" s="389">
        <f>Работы!B175</f>
        <v>0</v>
      </c>
      <c r="C281" s="389">
        <f>Работы!C175</f>
        <v>0</v>
      </c>
      <c r="D281" s="388"/>
      <c r="E281" s="388"/>
      <c r="F281" s="376">
        <f>IFERROR(INDEX(Работы!$1:$1048576,MATCH($C281,Работы!$C:$C,0),MATCH($F$14,Работы!$8:$8,0)),"---")</f>
        <v>0</v>
      </c>
      <c r="G281" s="390"/>
      <c r="H281" s="390"/>
      <c r="K281" s="356"/>
    </row>
    <row r="282" spans="1:11" hidden="1" x14ac:dyDescent="0.25">
      <c r="A282" s="387" t="s">
        <v>437</v>
      </c>
      <c r="B282" s="389">
        <f>Работы!B176</f>
        <v>0</v>
      </c>
      <c r="C282" s="389">
        <f>Работы!C176</f>
        <v>0</v>
      </c>
      <c r="D282" s="388"/>
      <c r="E282" s="388"/>
      <c r="F282" s="376">
        <f>IFERROR(INDEX(Работы!$1:$1048576,MATCH($C282,Работы!$C:$C,0),MATCH($F$14,Работы!$8:$8,0)),"---")</f>
        <v>0</v>
      </c>
      <c r="G282" s="390"/>
      <c r="H282" s="390"/>
      <c r="K282" s="356"/>
    </row>
    <row r="283" spans="1:11" hidden="1" x14ac:dyDescent="0.25">
      <c r="A283" s="387" t="s">
        <v>437</v>
      </c>
      <c r="B283" s="389">
        <f>Работы!B177</f>
        <v>0</v>
      </c>
      <c r="C283" s="389">
        <f>Работы!C177</f>
        <v>0</v>
      </c>
      <c r="D283" s="388"/>
      <c r="E283" s="388"/>
      <c r="F283" s="376">
        <f>IFERROR(INDEX(Работы!$1:$1048576,MATCH($C283,Работы!$C:$C,0),MATCH($F$14,Работы!$8:$8,0)),"---")</f>
        <v>0</v>
      </c>
      <c r="G283" s="390"/>
      <c r="H283" s="390"/>
      <c r="K283" s="356"/>
    </row>
    <row r="284" spans="1:11" hidden="1" x14ac:dyDescent="0.25">
      <c r="A284" s="387" t="s">
        <v>437</v>
      </c>
      <c r="B284" s="389">
        <f>Работы!B178</f>
        <v>0</v>
      </c>
      <c r="C284" s="389">
        <f>Работы!C178</f>
        <v>0</v>
      </c>
      <c r="D284" s="388"/>
      <c r="E284" s="388"/>
      <c r="F284" s="376">
        <f>IFERROR(INDEX(Работы!$1:$1048576,MATCH($C284,Работы!$C:$C,0),MATCH($F$14,Работы!$8:$8,0)),"---")</f>
        <v>0</v>
      </c>
      <c r="G284" s="390"/>
      <c r="H284" s="390"/>
      <c r="K284" s="356"/>
    </row>
    <row r="285" spans="1:11" hidden="1" x14ac:dyDescent="0.25">
      <c r="A285" s="387" t="s">
        <v>437</v>
      </c>
      <c r="B285" s="389">
        <f>Работы!B179</f>
        <v>0</v>
      </c>
      <c r="C285" s="389">
        <f>Работы!C179</f>
        <v>0</v>
      </c>
      <c r="D285" s="388"/>
      <c r="E285" s="388"/>
      <c r="F285" s="376">
        <f>IFERROR(INDEX(Работы!$1:$1048576,MATCH($C285,Работы!$C:$C,0),MATCH($F$14,Работы!$8:$8,0)),"---")</f>
        <v>0</v>
      </c>
      <c r="G285" s="390"/>
      <c r="H285" s="390"/>
      <c r="K285" s="356"/>
    </row>
    <row r="286" spans="1:11" hidden="1" x14ac:dyDescent="0.25">
      <c r="A286" s="387" t="s">
        <v>437</v>
      </c>
      <c r="B286" s="389">
        <f>Работы!B360</f>
        <v>0</v>
      </c>
      <c r="C286" s="389">
        <f>Работы!C360</f>
        <v>0</v>
      </c>
      <c r="D286" s="388"/>
      <c r="E286" s="388"/>
      <c r="F286" s="376">
        <f>IFERROR(INDEX(Работы!$1:$1048576,MATCH($C286,Работы!$C:$C,0),MATCH($F$14,Работы!$8:$8,0)),"---")</f>
        <v>0</v>
      </c>
      <c r="G286" s="390"/>
      <c r="H286" s="390"/>
      <c r="K286" s="356"/>
    </row>
    <row r="287" spans="1:11" hidden="1" x14ac:dyDescent="0.25">
      <c r="A287" s="387" t="s">
        <v>437</v>
      </c>
      <c r="B287" s="389">
        <f>Работы!B361</f>
        <v>0</v>
      </c>
      <c r="C287" s="389">
        <f>Работы!C361</f>
        <v>0</v>
      </c>
      <c r="D287" s="388"/>
      <c r="E287" s="388"/>
      <c r="F287" s="376">
        <f>IFERROR(INDEX(Работы!$1:$1048576,MATCH($C287,Работы!$C:$C,0),MATCH($F$14,Работы!$8:$8,0)),"---")</f>
        <v>0</v>
      </c>
      <c r="G287" s="390"/>
      <c r="H287" s="390"/>
      <c r="K287" s="356"/>
    </row>
    <row r="288" spans="1:11" hidden="1" x14ac:dyDescent="0.25">
      <c r="A288" s="387" t="s">
        <v>437</v>
      </c>
      <c r="B288" s="389">
        <f>Работы!B362</f>
        <v>0</v>
      </c>
      <c r="C288" s="389">
        <f>Работы!C362</f>
        <v>0</v>
      </c>
      <c r="D288" s="388"/>
      <c r="E288" s="388"/>
      <c r="F288" s="376">
        <f>IFERROR(INDEX(Работы!$1:$1048576,MATCH($C288,Работы!$C:$C,0),MATCH($F$14,Работы!$8:$8,0)),"---")</f>
        <v>0</v>
      </c>
      <c r="G288" s="390"/>
      <c r="H288" s="390"/>
      <c r="K288" s="356"/>
    </row>
    <row r="289" spans="1:11" hidden="1" x14ac:dyDescent="0.25">
      <c r="A289" s="387" t="s">
        <v>437</v>
      </c>
      <c r="B289" s="389">
        <f>Работы!B363</f>
        <v>0</v>
      </c>
      <c r="C289" s="389">
        <f>Работы!C363</f>
        <v>0</v>
      </c>
      <c r="D289" s="388"/>
      <c r="E289" s="388"/>
      <c r="F289" s="376">
        <f>IFERROR(INDEX(Работы!$1:$1048576,MATCH($C289,Работы!$C:$C,0),MATCH($F$14,Работы!$8:$8,0)),"---")</f>
        <v>0</v>
      </c>
      <c r="G289" s="390"/>
      <c r="H289" s="390"/>
      <c r="K289" s="356"/>
    </row>
    <row r="290" spans="1:11" hidden="1" x14ac:dyDescent="0.25">
      <c r="A290" s="387" t="s">
        <v>437</v>
      </c>
      <c r="B290" s="389">
        <f>Работы!B364</f>
        <v>0</v>
      </c>
      <c r="C290" s="389">
        <f>Работы!C364</f>
        <v>0</v>
      </c>
      <c r="D290" s="388"/>
      <c r="E290" s="388"/>
      <c r="F290" s="376">
        <f>IFERROR(INDEX(Работы!$1:$1048576,MATCH($C290,Работы!$C:$C,0),MATCH($F$14,Работы!$8:$8,0)),"---")</f>
        <v>0</v>
      </c>
      <c r="G290" s="390"/>
      <c r="H290" s="390"/>
      <c r="K290" s="356"/>
    </row>
    <row r="291" spans="1:11" hidden="1" x14ac:dyDescent="0.25">
      <c r="A291" s="387" t="s">
        <v>437</v>
      </c>
      <c r="B291" s="389">
        <f>Работы!B365</f>
        <v>0</v>
      </c>
      <c r="C291" s="389">
        <f>Работы!C365</f>
        <v>0</v>
      </c>
      <c r="D291" s="388"/>
      <c r="E291" s="388"/>
      <c r="F291" s="376">
        <f>IFERROR(INDEX(Работы!$1:$1048576,MATCH($C291,Работы!$C:$C,0),MATCH($F$14,Работы!$8:$8,0)),"---")</f>
        <v>0</v>
      </c>
      <c r="G291" s="390"/>
      <c r="H291" s="390"/>
      <c r="K291" s="356"/>
    </row>
    <row r="292" spans="1:11" hidden="1" x14ac:dyDescent="0.25">
      <c r="A292" s="387" t="s">
        <v>437</v>
      </c>
      <c r="B292" s="389">
        <f>Работы!B366</f>
        <v>0</v>
      </c>
      <c r="C292" s="389">
        <f>Работы!C366</f>
        <v>0</v>
      </c>
      <c r="D292" s="388"/>
      <c r="E292" s="388"/>
      <c r="F292" s="376">
        <f>IFERROR(INDEX(Работы!$1:$1048576,MATCH($C292,Работы!$C:$C,0),MATCH($F$14,Работы!$8:$8,0)),"---")</f>
        <v>0</v>
      </c>
      <c r="G292" s="390"/>
      <c r="H292" s="390"/>
      <c r="K292" s="356"/>
    </row>
    <row r="293" spans="1:11" hidden="1" x14ac:dyDescent="0.25">
      <c r="A293" s="387" t="s">
        <v>437</v>
      </c>
      <c r="B293" s="389">
        <f>Работы!B367</f>
        <v>0</v>
      </c>
      <c r="C293" s="389">
        <f>Работы!C367</f>
        <v>0</v>
      </c>
      <c r="D293" s="388"/>
      <c r="E293" s="388"/>
      <c r="F293" s="376">
        <f>IFERROR(INDEX(Работы!$1:$1048576,MATCH($C293,Работы!$C:$C,0),MATCH($F$14,Работы!$8:$8,0)),"---")</f>
        <v>0</v>
      </c>
      <c r="G293" s="390"/>
      <c r="H293" s="390"/>
      <c r="K293" s="356"/>
    </row>
    <row r="294" spans="1:11" hidden="1" x14ac:dyDescent="0.25">
      <c r="A294" s="387" t="s">
        <v>437</v>
      </c>
      <c r="B294" s="389">
        <f>Работы!B368</f>
        <v>0</v>
      </c>
      <c r="C294" s="389">
        <f>Работы!C368</f>
        <v>0</v>
      </c>
      <c r="D294" s="388"/>
      <c r="E294" s="388"/>
      <c r="F294" s="376">
        <f>IFERROR(INDEX(Работы!$1:$1048576,MATCH($C294,Работы!$C:$C,0),MATCH($F$14,Работы!$8:$8,0)),"---")</f>
        <v>0</v>
      </c>
      <c r="G294" s="390"/>
      <c r="H294" s="390"/>
      <c r="K294" s="356"/>
    </row>
    <row r="295" spans="1:11" hidden="1" x14ac:dyDescent="0.25">
      <c r="A295" s="387" t="s">
        <v>437</v>
      </c>
      <c r="B295" s="389">
        <f>Работы!B369</f>
        <v>0</v>
      </c>
      <c r="C295" s="389">
        <f>Работы!C369</f>
        <v>0</v>
      </c>
      <c r="D295" s="388"/>
      <c r="E295" s="388"/>
      <c r="F295" s="376">
        <f>IFERROR(INDEX(Работы!$1:$1048576,MATCH($C295,Работы!$C:$C,0),MATCH($F$14,Работы!$8:$8,0)),"---")</f>
        <v>0</v>
      </c>
      <c r="G295" s="390"/>
      <c r="H295" s="390"/>
      <c r="K295" s="356"/>
    </row>
    <row r="296" spans="1:11" hidden="1" x14ac:dyDescent="0.25">
      <c r="A296" s="387" t="s">
        <v>437</v>
      </c>
      <c r="B296" s="389">
        <f>Работы!B370</f>
        <v>0</v>
      </c>
      <c r="C296" s="389">
        <f>Работы!C370</f>
        <v>0</v>
      </c>
      <c r="D296" s="388"/>
      <c r="E296" s="388"/>
      <c r="F296" s="376">
        <f>IFERROR(INDEX(Работы!$1:$1048576,MATCH($C296,Работы!$C:$C,0),MATCH($F$14,Работы!$8:$8,0)),"---")</f>
        <v>0</v>
      </c>
      <c r="G296" s="390"/>
      <c r="H296" s="390"/>
      <c r="K296" s="356"/>
    </row>
    <row r="297" spans="1:11" hidden="1" x14ac:dyDescent="0.25">
      <c r="A297" s="387" t="s">
        <v>437</v>
      </c>
      <c r="B297" s="389">
        <f>Работы!B371</f>
        <v>0</v>
      </c>
      <c r="C297" s="389">
        <f>Работы!C371</f>
        <v>0</v>
      </c>
      <c r="D297" s="388"/>
      <c r="E297" s="388"/>
      <c r="F297" s="376">
        <f>IFERROR(INDEX(Работы!$1:$1048576,MATCH($C297,Работы!$C:$C,0),MATCH($F$14,Работы!$8:$8,0)),"---")</f>
        <v>0</v>
      </c>
      <c r="G297" s="390"/>
      <c r="H297" s="390"/>
      <c r="K297" s="356"/>
    </row>
    <row r="298" spans="1:11" hidden="1" x14ac:dyDescent="0.25">
      <c r="A298" s="387" t="s">
        <v>437</v>
      </c>
      <c r="B298" s="389">
        <f>Работы!B372</f>
        <v>0</v>
      </c>
      <c r="C298" s="389">
        <f>Работы!C372</f>
        <v>0</v>
      </c>
      <c r="D298" s="388"/>
      <c r="E298" s="388"/>
      <c r="F298" s="376">
        <f>IFERROR(INDEX(Работы!$1:$1048576,MATCH($C298,Работы!$C:$C,0),MATCH($F$14,Работы!$8:$8,0)),"---")</f>
        <v>0</v>
      </c>
      <c r="G298" s="390"/>
      <c r="H298" s="390"/>
      <c r="K298" s="356"/>
    </row>
    <row r="299" spans="1:11" hidden="1" x14ac:dyDescent="0.25">
      <c r="A299" s="387" t="s">
        <v>437</v>
      </c>
      <c r="B299" s="389">
        <f>Работы!B373</f>
        <v>0</v>
      </c>
      <c r="C299" s="389">
        <f>Работы!C373</f>
        <v>0</v>
      </c>
      <c r="D299" s="388"/>
      <c r="E299" s="388"/>
      <c r="F299" s="376">
        <f>IFERROR(INDEX(Работы!$1:$1048576,MATCH($C299,Работы!$C:$C,0),MATCH($F$14,Работы!$8:$8,0)),"---")</f>
        <v>0</v>
      </c>
      <c r="G299" s="390"/>
      <c r="H299" s="390"/>
      <c r="K299" s="356"/>
    </row>
    <row r="300" spans="1:11" hidden="1" x14ac:dyDescent="0.25">
      <c r="A300" s="387" t="s">
        <v>437</v>
      </c>
      <c r="B300" s="389">
        <f>Работы!B374</f>
        <v>0</v>
      </c>
      <c r="C300" s="389">
        <f>Работы!C374</f>
        <v>0</v>
      </c>
      <c r="D300" s="388"/>
      <c r="E300" s="388"/>
      <c r="F300" s="376">
        <f>IFERROR(INDEX(Работы!$1:$1048576,MATCH($C300,Работы!$C:$C,0),MATCH($F$14,Работы!$8:$8,0)),"---")</f>
        <v>0</v>
      </c>
      <c r="G300" s="390"/>
      <c r="H300" s="390"/>
      <c r="K300" s="356"/>
    </row>
    <row r="301" spans="1:11" hidden="1" x14ac:dyDescent="0.25">
      <c r="A301" s="387" t="s">
        <v>437</v>
      </c>
      <c r="B301" s="389">
        <f>Работы!B375</f>
        <v>0</v>
      </c>
      <c r="C301" s="389">
        <f>Работы!C375</f>
        <v>0</v>
      </c>
      <c r="D301" s="388"/>
      <c r="E301" s="388"/>
      <c r="F301" s="376">
        <f>IFERROR(INDEX(Работы!$1:$1048576,MATCH($C301,Работы!$C:$C,0),MATCH($F$14,Работы!$8:$8,0)),"---")</f>
        <v>0</v>
      </c>
      <c r="G301" s="390"/>
      <c r="H301" s="390"/>
      <c r="K301" s="356"/>
    </row>
    <row r="302" spans="1:11" hidden="1" x14ac:dyDescent="0.25">
      <c r="A302" s="387" t="s">
        <v>437</v>
      </c>
      <c r="B302" s="389">
        <f>Работы!B376</f>
        <v>0</v>
      </c>
      <c r="C302" s="389">
        <f>Работы!C376</f>
        <v>0</v>
      </c>
      <c r="D302" s="388"/>
      <c r="E302" s="388"/>
      <c r="F302" s="376">
        <f>IFERROR(INDEX(Работы!$1:$1048576,MATCH($C302,Работы!$C:$C,0),MATCH($F$14,Работы!$8:$8,0)),"---")</f>
        <v>0</v>
      </c>
      <c r="G302" s="390"/>
      <c r="H302" s="390"/>
      <c r="K302" s="356"/>
    </row>
    <row r="303" spans="1:11" hidden="1" x14ac:dyDescent="0.25">
      <c r="A303" s="387" t="s">
        <v>437</v>
      </c>
      <c r="B303" s="389">
        <f>Работы!B377</f>
        <v>0</v>
      </c>
      <c r="C303" s="389">
        <f>Работы!C377</f>
        <v>0</v>
      </c>
      <c r="D303" s="388"/>
      <c r="E303" s="388"/>
      <c r="F303" s="376">
        <f>IFERROR(INDEX(Работы!$1:$1048576,MATCH($C303,Работы!$C:$C,0),MATCH($F$14,Работы!$8:$8,0)),"---")</f>
        <v>0</v>
      </c>
      <c r="G303" s="390"/>
      <c r="H303" s="390"/>
      <c r="K303" s="356"/>
    </row>
    <row r="304" spans="1:11" hidden="1" x14ac:dyDescent="0.25">
      <c r="A304" s="387" t="s">
        <v>437</v>
      </c>
      <c r="B304" s="389">
        <f>Работы!B378</f>
        <v>0</v>
      </c>
      <c r="C304" s="389">
        <f>Работы!C378</f>
        <v>0</v>
      </c>
      <c r="D304" s="388"/>
      <c r="E304" s="388"/>
      <c r="F304" s="376">
        <f>IFERROR(INDEX(Работы!$1:$1048576,MATCH($C304,Работы!$C:$C,0),MATCH($F$14,Работы!$8:$8,0)),"---")</f>
        <v>0</v>
      </c>
      <c r="G304" s="390"/>
      <c r="H304" s="390"/>
      <c r="K304" s="356"/>
    </row>
    <row r="305" spans="1:11" hidden="1" x14ac:dyDescent="0.25">
      <c r="A305" s="387" t="s">
        <v>437</v>
      </c>
      <c r="B305" s="389">
        <f>Работы!B379</f>
        <v>0</v>
      </c>
      <c r="C305" s="389">
        <f>Работы!C379</f>
        <v>0</v>
      </c>
      <c r="D305" s="388"/>
      <c r="E305" s="388"/>
      <c r="F305" s="376">
        <f>IFERROR(INDEX(Работы!$1:$1048576,MATCH($C305,Работы!$C:$C,0),MATCH($F$14,Работы!$8:$8,0)),"---")</f>
        <v>0</v>
      </c>
      <c r="G305" s="390"/>
      <c r="H305" s="390"/>
      <c r="K305" s="356"/>
    </row>
    <row r="306" spans="1:11" hidden="1" x14ac:dyDescent="0.25">
      <c r="A306" s="387" t="s">
        <v>437</v>
      </c>
      <c r="B306" s="389">
        <f>Работы!B380</f>
        <v>0</v>
      </c>
      <c r="C306" s="389">
        <f>Работы!C380</f>
        <v>0</v>
      </c>
      <c r="D306" s="388"/>
      <c r="E306" s="388"/>
      <c r="F306" s="376">
        <f>IFERROR(INDEX(Работы!$1:$1048576,MATCH($C306,Работы!$C:$C,0),MATCH($F$14,Работы!$8:$8,0)),"---")</f>
        <v>0</v>
      </c>
      <c r="G306" s="390"/>
      <c r="H306" s="390"/>
      <c r="K306" s="356"/>
    </row>
    <row r="307" spans="1:11" hidden="1" x14ac:dyDescent="0.25">
      <c r="A307" s="387" t="s">
        <v>437</v>
      </c>
      <c r="B307" s="389">
        <f>Работы!B381</f>
        <v>0</v>
      </c>
      <c r="C307" s="389">
        <f>Работы!C381</f>
        <v>0</v>
      </c>
      <c r="D307" s="388"/>
      <c r="E307" s="388"/>
      <c r="F307" s="376">
        <f>IFERROR(INDEX(Работы!$1:$1048576,MATCH($C307,Работы!$C:$C,0),MATCH($F$14,Работы!$8:$8,0)),"---")</f>
        <v>0</v>
      </c>
      <c r="G307" s="390"/>
      <c r="H307" s="390"/>
      <c r="K307" s="356"/>
    </row>
    <row r="308" spans="1:11" hidden="1" x14ac:dyDescent="0.25">
      <c r="A308" s="387" t="s">
        <v>437</v>
      </c>
      <c r="B308" s="389">
        <f>Работы!B382</f>
        <v>0</v>
      </c>
      <c r="C308" s="389">
        <f>Работы!C382</f>
        <v>0</v>
      </c>
      <c r="D308" s="388"/>
      <c r="E308" s="388"/>
      <c r="F308" s="376">
        <f>IFERROR(INDEX(Работы!$1:$1048576,MATCH($C308,Работы!$C:$C,0),MATCH($F$14,Работы!$8:$8,0)),"---")</f>
        <v>0</v>
      </c>
      <c r="G308" s="390"/>
      <c r="H308" s="390"/>
      <c r="K308" s="356"/>
    </row>
    <row r="309" spans="1:11" hidden="1" x14ac:dyDescent="0.25">
      <c r="A309" s="387" t="s">
        <v>437</v>
      </c>
      <c r="B309" s="389">
        <f>Работы!B383</f>
        <v>0</v>
      </c>
      <c r="C309" s="389">
        <f>Работы!C383</f>
        <v>0</v>
      </c>
      <c r="D309" s="388"/>
      <c r="E309" s="388"/>
      <c r="F309" s="376">
        <f>IFERROR(INDEX(Работы!$1:$1048576,MATCH($C309,Работы!$C:$C,0),MATCH($F$14,Работы!$8:$8,0)),"---")</f>
        <v>0</v>
      </c>
      <c r="G309" s="390"/>
      <c r="H309" s="390"/>
      <c r="K309" s="356"/>
    </row>
    <row r="310" spans="1:11" hidden="1" x14ac:dyDescent="0.25">
      <c r="A310" s="387" t="s">
        <v>437</v>
      </c>
      <c r="B310" s="389">
        <f>Работы!B384</f>
        <v>0</v>
      </c>
      <c r="C310" s="389">
        <f>Работы!C384</f>
        <v>0</v>
      </c>
      <c r="D310" s="388"/>
      <c r="E310" s="388"/>
      <c r="F310" s="376">
        <f>IFERROR(INDEX(Работы!$1:$1048576,MATCH($C310,Работы!$C:$C,0),MATCH($F$14,Работы!$8:$8,0)),"---")</f>
        <v>0</v>
      </c>
      <c r="G310" s="390"/>
      <c r="H310" s="390"/>
      <c r="K310" s="356"/>
    </row>
    <row r="311" spans="1:11" hidden="1" x14ac:dyDescent="0.25">
      <c r="A311" s="387" t="s">
        <v>437</v>
      </c>
      <c r="B311" s="389">
        <f>Работы!B385</f>
        <v>0</v>
      </c>
      <c r="C311" s="389">
        <f>Работы!C385</f>
        <v>0</v>
      </c>
      <c r="D311" s="388"/>
      <c r="E311" s="388"/>
      <c r="F311" s="376">
        <f>IFERROR(INDEX(Работы!$1:$1048576,MATCH($C311,Работы!$C:$C,0),MATCH($F$14,Работы!$8:$8,0)),"---")</f>
        <v>0</v>
      </c>
      <c r="G311" s="390"/>
      <c r="H311" s="390"/>
      <c r="K311" s="356"/>
    </row>
    <row r="312" spans="1:11" hidden="1" x14ac:dyDescent="0.25">
      <c r="A312" s="387" t="s">
        <v>437</v>
      </c>
      <c r="B312" s="389">
        <f>Работы!B386</f>
        <v>0</v>
      </c>
      <c r="C312" s="389">
        <f>Работы!C386</f>
        <v>0</v>
      </c>
      <c r="D312" s="388"/>
      <c r="E312" s="388"/>
      <c r="F312" s="376">
        <f>IFERROR(INDEX(Работы!$1:$1048576,MATCH($C312,Работы!$C:$C,0),MATCH($F$14,Работы!$8:$8,0)),"---")</f>
        <v>0</v>
      </c>
      <c r="G312" s="390"/>
      <c r="H312" s="390"/>
      <c r="K312" s="356"/>
    </row>
    <row r="313" spans="1:11" hidden="1" x14ac:dyDescent="0.25">
      <c r="A313" s="387" t="s">
        <v>437</v>
      </c>
      <c r="B313" s="389">
        <f>Работы!B387</f>
        <v>0</v>
      </c>
      <c r="C313" s="389">
        <f>Работы!C387</f>
        <v>0</v>
      </c>
      <c r="D313" s="388"/>
      <c r="E313" s="388"/>
      <c r="F313" s="376">
        <f>IFERROR(INDEX(Работы!$1:$1048576,MATCH($C313,Работы!$C:$C,0),MATCH($F$14,Работы!$8:$8,0)),"---")</f>
        <v>0</v>
      </c>
      <c r="G313" s="390"/>
      <c r="H313" s="390"/>
      <c r="K313" s="356"/>
    </row>
    <row r="314" spans="1:11" hidden="1" x14ac:dyDescent="0.25">
      <c r="A314" s="387" t="s">
        <v>437</v>
      </c>
      <c r="B314" s="389">
        <f>Работы!B388</f>
        <v>0</v>
      </c>
      <c r="C314" s="389">
        <f>Работы!C388</f>
        <v>0</v>
      </c>
      <c r="D314" s="388"/>
      <c r="E314" s="388"/>
      <c r="F314" s="376">
        <f>IFERROR(INDEX(Работы!$1:$1048576,MATCH($C314,Работы!$C:$C,0),MATCH($F$14,Работы!$8:$8,0)),"---")</f>
        <v>0</v>
      </c>
      <c r="G314" s="390"/>
      <c r="H314" s="390"/>
      <c r="K314" s="356"/>
    </row>
    <row r="315" spans="1:11" hidden="1" x14ac:dyDescent="0.25">
      <c r="A315" s="387" t="s">
        <v>437</v>
      </c>
      <c r="B315" s="389">
        <f>Работы!B389</f>
        <v>0</v>
      </c>
      <c r="C315" s="389">
        <f>Работы!C389</f>
        <v>0</v>
      </c>
      <c r="D315" s="388"/>
      <c r="E315" s="388"/>
      <c r="F315" s="376">
        <f>IFERROR(INDEX(Работы!$1:$1048576,MATCH($C315,Работы!$C:$C,0),MATCH($F$14,Работы!$8:$8,0)),"---")</f>
        <v>0</v>
      </c>
      <c r="G315" s="390"/>
      <c r="H315" s="390"/>
      <c r="K315" s="356"/>
    </row>
    <row r="316" spans="1:11" hidden="1" x14ac:dyDescent="0.25">
      <c r="A316" s="387" t="s">
        <v>437</v>
      </c>
      <c r="B316" s="389">
        <f>Работы!B390</f>
        <v>0</v>
      </c>
      <c r="C316" s="389">
        <f>Работы!C390</f>
        <v>0</v>
      </c>
      <c r="D316" s="388"/>
      <c r="E316" s="388"/>
      <c r="F316" s="376">
        <f>IFERROR(INDEX(Работы!$1:$1048576,MATCH($C316,Работы!$C:$C,0),MATCH($F$14,Работы!$8:$8,0)),"---")</f>
        <v>0</v>
      </c>
      <c r="G316" s="390"/>
      <c r="H316" s="390"/>
      <c r="K316" s="356"/>
    </row>
    <row r="317" spans="1:11" hidden="1" x14ac:dyDescent="0.25">
      <c r="A317" s="387" t="s">
        <v>437</v>
      </c>
      <c r="B317" s="389">
        <f>Работы!B391</f>
        <v>0</v>
      </c>
      <c r="C317" s="389">
        <f>Работы!C391</f>
        <v>0</v>
      </c>
      <c r="D317" s="388"/>
      <c r="E317" s="388"/>
      <c r="F317" s="376">
        <f>IFERROR(INDEX(Работы!$1:$1048576,MATCH($C317,Работы!$C:$C,0),MATCH($F$14,Работы!$8:$8,0)),"---")</f>
        <v>0</v>
      </c>
      <c r="G317" s="390"/>
      <c r="H317" s="390"/>
      <c r="K317" s="356"/>
    </row>
    <row r="318" spans="1:11" hidden="1" x14ac:dyDescent="0.25">
      <c r="A318" s="387" t="s">
        <v>437</v>
      </c>
      <c r="B318" s="389">
        <f>Работы!B392</f>
        <v>0</v>
      </c>
      <c r="C318" s="389">
        <f>Работы!C392</f>
        <v>0</v>
      </c>
      <c r="D318" s="388"/>
      <c r="E318" s="388"/>
      <c r="F318" s="376">
        <f>IFERROR(INDEX(Работы!$1:$1048576,MATCH($C318,Работы!$C:$C,0),MATCH($F$14,Работы!$8:$8,0)),"---")</f>
        <v>0</v>
      </c>
      <c r="G318" s="390"/>
      <c r="H318" s="390"/>
      <c r="K318" s="356"/>
    </row>
    <row r="319" spans="1:11" hidden="1" x14ac:dyDescent="0.25">
      <c r="A319" s="387" t="s">
        <v>437</v>
      </c>
      <c r="B319" s="389">
        <f>Работы!B393</f>
        <v>0</v>
      </c>
      <c r="C319" s="389">
        <f>Работы!C393</f>
        <v>0</v>
      </c>
      <c r="D319" s="388"/>
      <c r="E319" s="388"/>
      <c r="F319" s="376">
        <f>IFERROR(INDEX(Работы!$1:$1048576,MATCH($C319,Работы!$C:$C,0),MATCH($F$14,Работы!$8:$8,0)),"---")</f>
        <v>0</v>
      </c>
      <c r="G319" s="390"/>
      <c r="H319" s="390"/>
      <c r="K319" s="356"/>
    </row>
    <row r="320" spans="1:11" hidden="1" x14ac:dyDescent="0.25">
      <c r="A320" s="387" t="s">
        <v>437</v>
      </c>
      <c r="B320" s="389">
        <f>Работы!B394</f>
        <v>0</v>
      </c>
      <c r="C320" s="389">
        <f>Работы!C394</f>
        <v>0</v>
      </c>
      <c r="D320" s="388"/>
      <c r="E320" s="388"/>
      <c r="F320" s="376">
        <f>IFERROR(INDEX(Работы!$1:$1048576,MATCH($C320,Работы!$C:$C,0),MATCH($F$14,Работы!$8:$8,0)),"---")</f>
        <v>0</v>
      </c>
      <c r="G320" s="390"/>
      <c r="H320" s="390"/>
      <c r="K320" s="356"/>
    </row>
    <row r="321" spans="1:11" hidden="1" x14ac:dyDescent="0.25">
      <c r="A321" s="387" t="s">
        <v>437</v>
      </c>
      <c r="B321" s="389">
        <f>Работы!B395</f>
        <v>0</v>
      </c>
      <c r="C321" s="389">
        <f>Работы!C395</f>
        <v>0</v>
      </c>
      <c r="D321" s="388"/>
      <c r="E321" s="388"/>
      <c r="F321" s="376">
        <f>IFERROR(INDEX(Работы!$1:$1048576,MATCH($C321,Работы!$C:$C,0),MATCH($F$14,Работы!$8:$8,0)),"---")</f>
        <v>0</v>
      </c>
      <c r="G321" s="390"/>
      <c r="H321" s="390"/>
      <c r="K321" s="356"/>
    </row>
    <row r="322" spans="1:11" hidden="1" x14ac:dyDescent="0.25">
      <c r="A322" s="387" t="s">
        <v>437</v>
      </c>
      <c r="B322" s="389">
        <f>Работы!B396</f>
        <v>0</v>
      </c>
      <c r="C322" s="389">
        <f>Работы!C396</f>
        <v>0</v>
      </c>
      <c r="D322" s="388"/>
      <c r="E322" s="388"/>
      <c r="F322" s="376">
        <f>IFERROR(INDEX(Работы!$1:$1048576,MATCH($C322,Работы!$C:$C,0),MATCH($F$14,Работы!$8:$8,0)),"---")</f>
        <v>0</v>
      </c>
      <c r="G322" s="390"/>
      <c r="H322" s="390"/>
      <c r="K322" s="356"/>
    </row>
    <row r="323" spans="1:11" hidden="1" x14ac:dyDescent="0.25">
      <c r="A323" s="387" t="s">
        <v>437</v>
      </c>
      <c r="B323" s="389">
        <f>Работы!B397</f>
        <v>0</v>
      </c>
      <c r="C323" s="389">
        <f>Работы!C397</f>
        <v>0</v>
      </c>
      <c r="D323" s="388"/>
      <c r="E323" s="388"/>
      <c r="F323" s="376">
        <f>IFERROR(INDEX(Работы!$1:$1048576,MATCH($C323,Работы!$C:$C,0),MATCH($F$14,Работы!$8:$8,0)),"---")</f>
        <v>0</v>
      </c>
      <c r="G323" s="390"/>
      <c r="H323" s="390"/>
      <c r="K323" s="356"/>
    </row>
    <row r="324" spans="1:11" hidden="1" x14ac:dyDescent="0.25">
      <c r="A324" s="387" t="s">
        <v>437</v>
      </c>
      <c r="B324" s="389">
        <f>Работы!B398</f>
        <v>0</v>
      </c>
      <c r="C324" s="389">
        <f>Работы!C398</f>
        <v>0</v>
      </c>
      <c r="D324" s="388"/>
      <c r="E324" s="388"/>
      <c r="F324" s="376">
        <f>IFERROR(INDEX(Работы!$1:$1048576,MATCH($C324,Работы!$C:$C,0),MATCH($F$14,Работы!$8:$8,0)),"---")</f>
        <v>0</v>
      </c>
      <c r="G324" s="390"/>
      <c r="H324" s="390"/>
      <c r="K324" s="356"/>
    </row>
    <row r="325" spans="1:11" hidden="1" x14ac:dyDescent="0.25">
      <c r="A325" s="387" t="s">
        <v>437</v>
      </c>
      <c r="B325" s="389">
        <f>Работы!B399</f>
        <v>0</v>
      </c>
      <c r="C325" s="389">
        <f>Работы!C399</f>
        <v>0</v>
      </c>
      <c r="D325" s="388"/>
      <c r="E325" s="388"/>
      <c r="F325" s="376">
        <f>IFERROR(INDEX(Работы!$1:$1048576,MATCH($C325,Работы!$C:$C,0),MATCH($F$14,Работы!$8:$8,0)),"---")</f>
        <v>0</v>
      </c>
      <c r="G325" s="390"/>
      <c r="H325" s="390"/>
      <c r="K325" s="356"/>
    </row>
    <row r="326" spans="1:11" hidden="1" x14ac:dyDescent="0.25">
      <c r="A326" s="387" t="s">
        <v>437</v>
      </c>
      <c r="B326" s="389">
        <f>Работы!B400</f>
        <v>0</v>
      </c>
      <c r="C326" s="389">
        <f>Работы!C400</f>
        <v>0</v>
      </c>
      <c r="D326" s="388"/>
      <c r="E326" s="388"/>
      <c r="F326" s="376">
        <f>IFERROR(INDEX(Работы!$1:$1048576,MATCH($C326,Работы!$C:$C,0),MATCH($F$14,Работы!$8:$8,0)),"---")</f>
        <v>0</v>
      </c>
      <c r="G326" s="390"/>
      <c r="H326" s="390"/>
      <c r="K326" s="356"/>
    </row>
    <row r="327" spans="1:11" hidden="1" x14ac:dyDescent="0.25">
      <c r="A327" s="387" t="s">
        <v>437</v>
      </c>
      <c r="B327" s="389">
        <f>Работы!B401</f>
        <v>0</v>
      </c>
      <c r="C327" s="389">
        <f>Работы!C401</f>
        <v>0</v>
      </c>
      <c r="D327" s="388"/>
      <c r="E327" s="388"/>
      <c r="F327" s="376">
        <f>IFERROR(INDEX(Работы!$1:$1048576,MATCH($C327,Работы!$C:$C,0),MATCH($F$14,Работы!$8:$8,0)),"---")</f>
        <v>0</v>
      </c>
      <c r="G327" s="390"/>
      <c r="H327" s="390"/>
      <c r="K327" s="356"/>
    </row>
    <row r="328" spans="1:11" hidden="1" x14ac:dyDescent="0.25">
      <c r="A328" s="387" t="s">
        <v>437</v>
      </c>
      <c r="B328" s="389">
        <f>Работы!B402</f>
        <v>0</v>
      </c>
      <c r="C328" s="389">
        <f>Работы!C402</f>
        <v>0</v>
      </c>
      <c r="D328" s="388"/>
      <c r="E328" s="388"/>
      <c r="F328" s="376">
        <f>IFERROR(INDEX(Работы!$1:$1048576,MATCH($C328,Работы!$C:$C,0),MATCH($F$14,Работы!$8:$8,0)),"---")</f>
        <v>0</v>
      </c>
      <c r="G328" s="390"/>
      <c r="H328" s="390"/>
      <c r="K328" s="356"/>
    </row>
    <row r="329" spans="1:11" hidden="1" x14ac:dyDescent="0.25">
      <c r="A329" s="387" t="s">
        <v>437</v>
      </c>
      <c r="B329" s="389">
        <f>Работы!B403</f>
        <v>0</v>
      </c>
      <c r="C329" s="389">
        <f>Работы!C403</f>
        <v>0</v>
      </c>
      <c r="D329" s="388"/>
      <c r="E329" s="388"/>
      <c r="F329" s="376">
        <f>IFERROR(INDEX(Работы!$1:$1048576,MATCH($C329,Работы!$C:$C,0),MATCH($F$14,Работы!$8:$8,0)),"---")</f>
        <v>0</v>
      </c>
      <c r="G329" s="390"/>
      <c r="H329" s="390"/>
      <c r="K329" s="356"/>
    </row>
    <row r="330" spans="1:11" hidden="1" x14ac:dyDescent="0.25">
      <c r="A330" s="387" t="s">
        <v>437</v>
      </c>
      <c r="B330" s="389">
        <f>Работы!B404</f>
        <v>0</v>
      </c>
      <c r="C330" s="389">
        <f>Работы!C404</f>
        <v>0</v>
      </c>
      <c r="D330" s="388"/>
      <c r="E330" s="388"/>
      <c r="F330" s="376">
        <f>IFERROR(INDEX(Работы!$1:$1048576,MATCH($C330,Работы!$C:$C,0),MATCH($F$14,Работы!$8:$8,0)),"---")</f>
        <v>0</v>
      </c>
      <c r="G330" s="390"/>
      <c r="H330" s="390"/>
      <c r="K330" s="356"/>
    </row>
    <row r="331" spans="1:11" hidden="1" x14ac:dyDescent="0.25">
      <c r="A331" s="387" t="s">
        <v>437</v>
      </c>
      <c r="B331" s="389">
        <f>Работы!B405</f>
        <v>0</v>
      </c>
      <c r="C331" s="389">
        <f>Работы!C405</f>
        <v>0</v>
      </c>
      <c r="D331" s="388"/>
      <c r="E331" s="388"/>
      <c r="F331" s="376">
        <f>IFERROR(INDEX(Работы!$1:$1048576,MATCH($C331,Работы!$C:$C,0),MATCH($F$14,Работы!$8:$8,0)),"---")</f>
        <v>0</v>
      </c>
      <c r="G331" s="390"/>
      <c r="H331" s="390"/>
      <c r="K331" s="356"/>
    </row>
    <row r="332" spans="1:11" hidden="1" x14ac:dyDescent="0.25">
      <c r="A332" s="387" t="s">
        <v>437</v>
      </c>
      <c r="B332" s="389">
        <f>Работы!B406</f>
        <v>0</v>
      </c>
      <c r="C332" s="389">
        <f>Работы!C406</f>
        <v>0</v>
      </c>
      <c r="D332" s="388"/>
      <c r="E332" s="388"/>
      <c r="F332" s="376">
        <f>IFERROR(INDEX(Работы!$1:$1048576,MATCH($C332,Работы!$C:$C,0),MATCH($F$14,Работы!$8:$8,0)),"---")</f>
        <v>0</v>
      </c>
      <c r="G332" s="390"/>
      <c r="H332" s="390"/>
      <c r="K332" s="356"/>
    </row>
    <row r="333" spans="1:11" hidden="1" x14ac:dyDescent="0.25">
      <c r="A333" s="387" t="s">
        <v>437</v>
      </c>
      <c r="B333" s="389">
        <f>Работы!B407</f>
        <v>0</v>
      </c>
      <c r="C333" s="389">
        <f>Работы!C407</f>
        <v>0</v>
      </c>
      <c r="D333" s="388"/>
      <c r="E333" s="388"/>
      <c r="F333" s="376">
        <f>IFERROR(INDEX(Работы!$1:$1048576,MATCH($C333,Работы!$C:$C,0),MATCH($F$14,Работы!$8:$8,0)),"---")</f>
        <v>0</v>
      </c>
      <c r="G333" s="390"/>
      <c r="H333" s="390"/>
      <c r="K333" s="356"/>
    </row>
    <row r="334" spans="1:11" hidden="1" x14ac:dyDescent="0.25">
      <c r="A334" s="387" t="s">
        <v>437</v>
      </c>
      <c r="B334" s="389">
        <f>Работы!B408</f>
        <v>0</v>
      </c>
      <c r="C334" s="389">
        <f>Работы!C408</f>
        <v>0</v>
      </c>
      <c r="D334" s="388"/>
      <c r="E334" s="388"/>
      <c r="F334" s="376">
        <f>IFERROR(INDEX(Работы!$1:$1048576,MATCH($C334,Работы!$C:$C,0),MATCH($F$14,Работы!$8:$8,0)),"---")</f>
        <v>0</v>
      </c>
      <c r="G334" s="390"/>
      <c r="H334" s="390"/>
      <c r="K334" s="356"/>
    </row>
    <row r="335" spans="1:11" hidden="1" x14ac:dyDescent="0.25">
      <c r="A335" s="387" t="s">
        <v>437</v>
      </c>
      <c r="B335" s="389">
        <f>Работы!B409</f>
        <v>0</v>
      </c>
      <c r="C335" s="389">
        <f>Работы!C409</f>
        <v>0</v>
      </c>
      <c r="D335" s="388"/>
      <c r="E335" s="388"/>
      <c r="F335" s="376">
        <f>IFERROR(INDEX(Работы!$1:$1048576,MATCH($C335,Работы!$C:$C,0),MATCH($F$14,Работы!$8:$8,0)),"---")</f>
        <v>0</v>
      </c>
      <c r="G335" s="390"/>
      <c r="H335" s="390"/>
      <c r="K335" s="356"/>
    </row>
    <row r="336" spans="1:11" hidden="1" x14ac:dyDescent="0.25">
      <c r="A336" s="387" t="s">
        <v>437</v>
      </c>
      <c r="B336" s="389">
        <f>Работы!B410</f>
        <v>0</v>
      </c>
      <c r="C336" s="389">
        <f>Работы!C410</f>
        <v>0</v>
      </c>
      <c r="D336" s="388"/>
      <c r="E336" s="388"/>
      <c r="F336" s="376">
        <f>IFERROR(INDEX(Работы!$1:$1048576,MATCH($C336,Работы!$C:$C,0),MATCH($F$14,Работы!$8:$8,0)),"---")</f>
        <v>0</v>
      </c>
      <c r="G336" s="390"/>
      <c r="H336" s="390"/>
      <c r="K336" s="356"/>
    </row>
    <row r="337" spans="1:11" hidden="1" x14ac:dyDescent="0.25">
      <c r="A337" s="387" t="s">
        <v>437</v>
      </c>
      <c r="B337" s="389">
        <f>Работы!B411</f>
        <v>0</v>
      </c>
      <c r="C337" s="389">
        <f>Работы!C411</f>
        <v>0</v>
      </c>
      <c r="D337" s="388"/>
      <c r="E337" s="388"/>
      <c r="F337" s="376">
        <f>IFERROR(INDEX(Работы!$1:$1048576,MATCH($C337,Работы!$C:$C,0),MATCH($F$14,Работы!$8:$8,0)),"---")</f>
        <v>0</v>
      </c>
      <c r="G337" s="390"/>
      <c r="H337" s="390"/>
      <c r="K337" s="356"/>
    </row>
    <row r="338" spans="1:11" hidden="1" x14ac:dyDescent="0.25">
      <c r="A338" s="387" t="s">
        <v>437</v>
      </c>
      <c r="B338" s="389">
        <f>Работы!B412</f>
        <v>0</v>
      </c>
      <c r="C338" s="389">
        <f>Работы!C412</f>
        <v>0</v>
      </c>
      <c r="D338" s="388"/>
      <c r="E338" s="388"/>
      <c r="F338" s="376">
        <f>IFERROR(INDEX(Работы!$1:$1048576,MATCH($C338,Работы!$C:$C,0),MATCH($F$14,Работы!$8:$8,0)),"---")</f>
        <v>0</v>
      </c>
      <c r="G338" s="390"/>
      <c r="H338" s="390"/>
      <c r="K338" s="356"/>
    </row>
    <row r="339" spans="1:11" hidden="1" x14ac:dyDescent="0.25">
      <c r="A339" s="387" t="s">
        <v>437</v>
      </c>
      <c r="B339" s="389">
        <f>Работы!B413</f>
        <v>0</v>
      </c>
      <c r="C339" s="389">
        <f>Работы!C413</f>
        <v>0</v>
      </c>
      <c r="D339" s="388"/>
      <c r="E339" s="388"/>
      <c r="F339" s="376">
        <f>IFERROR(INDEX(Работы!$1:$1048576,MATCH($C339,Работы!$C:$C,0),MATCH($F$14,Работы!$8:$8,0)),"---")</f>
        <v>0</v>
      </c>
      <c r="G339" s="390"/>
      <c r="H339" s="390"/>
      <c r="K339" s="356"/>
    </row>
    <row r="340" spans="1:11" hidden="1" x14ac:dyDescent="0.25">
      <c r="A340" s="387" t="s">
        <v>437</v>
      </c>
      <c r="B340" s="389">
        <f>Работы!B414</f>
        <v>0</v>
      </c>
      <c r="C340" s="389">
        <f>Работы!C414</f>
        <v>0</v>
      </c>
      <c r="D340" s="388"/>
      <c r="E340" s="388"/>
      <c r="F340" s="376">
        <f>IFERROR(INDEX(Работы!$1:$1048576,MATCH($C340,Работы!$C:$C,0),MATCH($F$14,Работы!$8:$8,0)),"---")</f>
        <v>0</v>
      </c>
      <c r="G340" s="390"/>
      <c r="H340" s="390"/>
      <c r="K340" s="356"/>
    </row>
    <row r="341" spans="1:11" hidden="1" x14ac:dyDescent="0.25">
      <c r="A341" s="387" t="s">
        <v>437</v>
      </c>
      <c r="B341" s="389">
        <f>Работы!B415</f>
        <v>0</v>
      </c>
      <c r="C341" s="389">
        <f>Работы!C415</f>
        <v>0</v>
      </c>
      <c r="D341" s="388"/>
      <c r="E341" s="388"/>
      <c r="F341" s="376">
        <f>IFERROR(INDEX(Работы!$1:$1048576,MATCH($C341,Работы!$C:$C,0),MATCH($F$14,Работы!$8:$8,0)),"---")</f>
        <v>0</v>
      </c>
      <c r="G341" s="390"/>
      <c r="H341" s="390"/>
      <c r="K341" s="356"/>
    </row>
    <row r="342" spans="1:11" hidden="1" x14ac:dyDescent="0.25">
      <c r="A342" s="387" t="s">
        <v>437</v>
      </c>
      <c r="B342" s="389">
        <f>Работы!B416</f>
        <v>0</v>
      </c>
      <c r="C342" s="389">
        <f>Работы!C416</f>
        <v>0</v>
      </c>
      <c r="D342" s="388"/>
      <c r="E342" s="388"/>
      <c r="F342" s="376">
        <f>IFERROR(INDEX(Работы!$1:$1048576,MATCH($C342,Работы!$C:$C,0),MATCH($F$14,Работы!$8:$8,0)),"---")</f>
        <v>0</v>
      </c>
      <c r="G342" s="390"/>
      <c r="H342" s="390"/>
      <c r="K342" s="356"/>
    </row>
    <row r="343" spans="1:11" hidden="1" x14ac:dyDescent="0.25">
      <c r="A343" s="387" t="s">
        <v>437</v>
      </c>
      <c r="B343" s="389">
        <f>Работы!B417</f>
        <v>0</v>
      </c>
      <c r="C343" s="389">
        <f>Работы!C417</f>
        <v>0</v>
      </c>
      <c r="D343" s="388"/>
      <c r="E343" s="388"/>
      <c r="F343" s="376">
        <f>IFERROR(INDEX(Работы!$1:$1048576,MATCH($C343,Работы!$C:$C,0),MATCH($F$14,Работы!$8:$8,0)),"---")</f>
        <v>0</v>
      </c>
      <c r="G343" s="390"/>
      <c r="H343" s="390"/>
      <c r="K343" s="356"/>
    </row>
    <row r="344" spans="1:11" hidden="1" x14ac:dyDescent="0.25">
      <c r="A344" s="387" t="s">
        <v>437</v>
      </c>
      <c r="B344" s="389">
        <f>Работы!B418</f>
        <v>0</v>
      </c>
      <c r="C344" s="389">
        <f>Работы!C418</f>
        <v>0</v>
      </c>
      <c r="D344" s="388"/>
      <c r="E344" s="388"/>
      <c r="F344" s="376">
        <f>IFERROR(INDEX(Работы!$1:$1048576,MATCH($C344,Работы!$C:$C,0),MATCH($F$14,Работы!$8:$8,0)),"---")</f>
        <v>0</v>
      </c>
      <c r="G344" s="390"/>
      <c r="H344" s="390"/>
      <c r="K344" s="356"/>
    </row>
    <row r="345" spans="1:11" hidden="1" x14ac:dyDescent="0.25">
      <c r="A345" s="387" t="s">
        <v>437</v>
      </c>
      <c r="B345" s="389">
        <f>Работы!B419</f>
        <v>0</v>
      </c>
      <c r="C345" s="389">
        <f>Работы!C419</f>
        <v>0</v>
      </c>
      <c r="D345" s="388"/>
      <c r="E345" s="388"/>
      <c r="F345" s="376">
        <f>IFERROR(INDEX(Работы!$1:$1048576,MATCH($C345,Работы!$C:$C,0),MATCH($F$14,Работы!$8:$8,0)),"---")</f>
        <v>0</v>
      </c>
      <c r="G345" s="390"/>
      <c r="H345" s="390"/>
      <c r="K345" s="356"/>
    </row>
    <row r="346" spans="1:11" hidden="1" x14ac:dyDescent="0.25">
      <c r="A346" s="387" t="s">
        <v>437</v>
      </c>
      <c r="B346" s="389">
        <f>Работы!B420</f>
        <v>0</v>
      </c>
      <c r="C346" s="389">
        <f>Работы!C420</f>
        <v>0</v>
      </c>
      <c r="D346" s="388"/>
      <c r="E346" s="388"/>
      <c r="F346" s="376">
        <f>IFERROR(INDEX(Работы!$1:$1048576,MATCH($C346,Работы!$C:$C,0),MATCH($F$14,Работы!$8:$8,0)),"---")</f>
        <v>0</v>
      </c>
      <c r="G346" s="390"/>
      <c r="H346" s="390"/>
      <c r="K346" s="356"/>
    </row>
    <row r="347" spans="1:11" hidden="1" x14ac:dyDescent="0.25">
      <c r="A347" s="387" t="s">
        <v>437</v>
      </c>
      <c r="B347" s="389">
        <f>Работы!B421</f>
        <v>0</v>
      </c>
      <c r="C347" s="389">
        <f>Работы!C421</f>
        <v>0</v>
      </c>
      <c r="D347" s="388"/>
      <c r="E347" s="388"/>
      <c r="F347" s="376">
        <f>IFERROR(INDEX(Работы!$1:$1048576,MATCH($C347,Работы!$C:$C,0),MATCH($F$14,Работы!$8:$8,0)),"---")</f>
        <v>0</v>
      </c>
      <c r="G347" s="390"/>
      <c r="H347" s="390"/>
      <c r="K347" s="356"/>
    </row>
    <row r="348" spans="1:11" hidden="1" x14ac:dyDescent="0.25">
      <c r="A348" s="387" t="s">
        <v>437</v>
      </c>
      <c r="B348" s="389">
        <f>Работы!B422</f>
        <v>0</v>
      </c>
      <c r="C348" s="389">
        <f>Работы!C422</f>
        <v>0</v>
      </c>
      <c r="D348" s="388"/>
      <c r="E348" s="388"/>
      <c r="F348" s="376">
        <f>IFERROR(INDEX(Работы!$1:$1048576,MATCH($C348,Работы!$C:$C,0),MATCH($F$14,Работы!$8:$8,0)),"---")</f>
        <v>0</v>
      </c>
      <c r="G348" s="390"/>
      <c r="H348" s="390"/>
      <c r="K348" s="356"/>
    </row>
    <row r="349" spans="1:11" hidden="1" x14ac:dyDescent="0.25">
      <c r="A349" s="387" t="s">
        <v>437</v>
      </c>
      <c r="B349" s="389">
        <f>Работы!B423</f>
        <v>0</v>
      </c>
      <c r="C349" s="389">
        <f>Работы!C423</f>
        <v>0</v>
      </c>
      <c r="D349" s="388"/>
      <c r="E349" s="388"/>
      <c r="F349" s="376">
        <f>IFERROR(INDEX(Работы!$1:$1048576,MATCH($C349,Работы!$C:$C,0),MATCH($F$14,Работы!$8:$8,0)),"---")</f>
        <v>0</v>
      </c>
      <c r="G349" s="390"/>
      <c r="H349" s="390"/>
      <c r="K349" s="356"/>
    </row>
    <row r="350" spans="1:11" hidden="1" x14ac:dyDescent="0.25">
      <c r="A350" s="387" t="s">
        <v>437</v>
      </c>
      <c r="B350" s="389">
        <f>Работы!B424</f>
        <v>0</v>
      </c>
      <c r="C350" s="389">
        <f>Работы!C424</f>
        <v>0</v>
      </c>
      <c r="D350" s="388"/>
      <c r="E350" s="388"/>
      <c r="F350" s="376">
        <f>IFERROR(INDEX(Работы!$1:$1048576,MATCH($C350,Работы!$C:$C,0),MATCH($F$14,Работы!$8:$8,0)),"---")</f>
        <v>0</v>
      </c>
      <c r="G350" s="390"/>
      <c r="H350" s="390"/>
      <c r="K350" s="356"/>
    </row>
    <row r="351" spans="1:11" hidden="1" x14ac:dyDescent="0.25">
      <c r="A351" s="387" t="s">
        <v>437</v>
      </c>
      <c r="B351" s="389">
        <f>Работы!B425</f>
        <v>0</v>
      </c>
      <c r="C351" s="389">
        <f>Работы!C425</f>
        <v>0</v>
      </c>
      <c r="D351" s="388"/>
      <c r="E351" s="388"/>
      <c r="F351" s="376">
        <f>IFERROR(INDEX(Работы!$1:$1048576,MATCH($C351,Работы!$C:$C,0),MATCH($F$14,Работы!$8:$8,0)),"---")</f>
        <v>0</v>
      </c>
      <c r="G351" s="390"/>
      <c r="H351" s="390"/>
      <c r="K351" s="356"/>
    </row>
    <row r="352" spans="1:11" hidden="1" x14ac:dyDescent="0.25">
      <c r="A352" s="387" t="s">
        <v>437</v>
      </c>
      <c r="B352" s="389">
        <f>Работы!B426</f>
        <v>0</v>
      </c>
      <c r="C352" s="389">
        <f>Работы!C426</f>
        <v>0</v>
      </c>
      <c r="D352" s="388"/>
      <c r="E352" s="388"/>
      <c r="F352" s="376">
        <f>IFERROR(INDEX(Работы!$1:$1048576,MATCH($C352,Работы!$C:$C,0),MATCH($F$14,Работы!$8:$8,0)),"---")</f>
        <v>0</v>
      </c>
      <c r="G352" s="390"/>
      <c r="H352" s="390"/>
      <c r="K352" s="356"/>
    </row>
    <row r="353" spans="1:11" hidden="1" x14ac:dyDescent="0.25">
      <c r="A353" s="387" t="s">
        <v>437</v>
      </c>
      <c r="B353" s="389">
        <f>Работы!B427</f>
        <v>0</v>
      </c>
      <c r="C353" s="389">
        <f>Работы!C427</f>
        <v>0</v>
      </c>
      <c r="D353" s="388"/>
      <c r="E353" s="388"/>
      <c r="F353" s="376">
        <f>IFERROR(INDEX(Работы!$1:$1048576,MATCH($C353,Работы!$C:$C,0),MATCH($F$14,Работы!$8:$8,0)),"---")</f>
        <v>0</v>
      </c>
      <c r="G353" s="390"/>
      <c r="H353" s="390"/>
      <c r="K353" s="356"/>
    </row>
    <row r="354" spans="1:11" hidden="1" x14ac:dyDescent="0.25">
      <c r="A354" s="387" t="s">
        <v>437</v>
      </c>
      <c r="B354" s="389">
        <f>Работы!B428</f>
        <v>0</v>
      </c>
      <c r="C354" s="389">
        <f>Работы!C428</f>
        <v>0</v>
      </c>
      <c r="D354" s="388"/>
      <c r="E354" s="388"/>
      <c r="F354" s="376">
        <f>IFERROR(INDEX(Работы!$1:$1048576,MATCH($C354,Работы!$C:$C,0),MATCH($F$14,Работы!$8:$8,0)),"---")</f>
        <v>0</v>
      </c>
      <c r="G354" s="390"/>
      <c r="H354" s="390"/>
      <c r="K354" s="356"/>
    </row>
    <row r="355" spans="1:11" hidden="1" x14ac:dyDescent="0.25">
      <c r="A355" s="387" t="s">
        <v>437</v>
      </c>
      <c r="B355" s="389">
        <f>Работы!B429</f>
        <v>0</v>
      </c>
      <c r="C355" s="389">
        <f>Работы!C429</f>
        <v>0</v>
      </c>
      <c r="D355" s="388"/>
      <c r="E355" s="388"/>
      <c r="F355" s="376">
        <f>IFERROR(INDEX(Работы!$1:$1048576,MATCH($C355,Работы!$C:$C,0),MATCH($F$14,Работы!$8:$8,0)),"---")</f>
        <v>0</v>
      </c>
      <c r="G355" s="390"/>
      <c r="H355" s="390"/>
      <c r="K355" s="356"/>
    </row>
    <row r="356" spans="1:11" hidden="1" x14ac:dyDescent="0.25">
      <c r="A356" s="387" t="s">
        <v>437</v>
      </c>
      <c r="B356" s="389">
        <f>Работы!B430</f>
        <v>0</v>
      </c>
      <c r="C356" s="389">
        <f>Работы!C430</f>
        <v>0</v>
      </c>
      <c r="D356" s="388"/>
      <c r="E356" s="388"/>
      <c r="F356" s="376">
        <f>IFERROR(INDEX(Работы!$1:$1048576,MATCH($C356,Работы!$C:$C,0),MATCH($F$14,Работы!$8:$8,0)),"---")</f>
        <v>0</v>
      </c>
      <c r="G356" s="390"/>
      <c r="H356" s="390"/>
      <c r="K356" s="356"/>
    </row>
    <row r="357" spans="1:11" hidden="1" x14ac:dyDescent="0.25">
      <c r="A357" s="387" t="s">
        <v>437</v>
      </c>
      <c r="B357" s="389">
        <f>Работы!B431</f>
        <v>0</v>
      </c>
      <c r="C357" s="389">
        <f>Работы!C431</f>
        <v>0</v>
      </c>
      <c r="D357" s="388"/>
      <c r="E357" s="388"/>
      <c r="F357" s="376">
        <f>IFERROR(INDEX(Работы!$1:$1048576,MATCH($C357,Работы!$C:$C,0),MATCH($F$14,Работы!$8:$8,0)),"---")</f>
        <v>0</v>
      </c>
      <c r="G357" s="390"/>
      <c r="H357" s="390"/>
      <c r="K357" s="356"/>
    </row>
    <row r="358" spans="1:11" hidden="1" x14ac:dyDescent="0.25">
      <c r="A358" s="387" t="s">
        <v>437</v>
      </c>
      <c r="B358" s="389">
        <f>Работы!B432</f>
        <v>0</v>
      </c>
      <c r="C358" s="389">
        <f>Работы!C432</f>
        <v>0</v>
      </c>
      <c r="D358" s="388"/>
      <c r="E358" s="388"/>
      <c r="F358" s="376">
        <f>IFERROR(INDEX(Работы!$1:$1048576,MATCH($C358,Работы!$C:$C,0),MATCH($F$14,Работы!$8:$8,0)),"---")</f>
        <v>0</v>
      </c>
      <c r="G358" s="390"/>
      <c r="H358" s="390"/>
      <c r="K358" s="356"/>
    </row>
    <row r="359" spans="1:11" hidden="1" x14ac:dyDescent="0.25">
      <c r="A359" s="387" t="s">
        <v>437</v>
      </c>
      <c r="B359" s="389">
        <f>Работы!B433</f>
        <v>0</v>
      </c>
      <c r="C359" s="389">
        <f>Работы!C433</f>
        <v>0</v>
      </c>
      <c r="D359" s="388"/>
      <c r="E359" s="388"/>
      <c r="F359" s="376">
        <f>IFERROR(INDEX(Работы!$1:$1048576,MATCH($C359,Работы!$C:$C,0),MATCH($F$14,Работы!$8:$8,0)),"---")</f>
        <v>0</v>
      </c>
      <c r="G359" s="390"/>
      <c r="H359" s="390"/>
      <c r="K359" s="356"/>
    </row>
    <row r="360" spans="1:11" hidden="1" x14ac:dyDescent="0.25">
      <c r="A360" s="387" t="s">
        <v>437</v>
      </c>
      <c r="B360" s="389">
        <f>Работы!B434</f>
        <v>0</v>
      </c>
      <c r="C360" s="389">
        <f>Работы!C434</f>
        <v>0</v>
      </c>
      <c r="D360" s="388"/>
      <c r="E360" s="388"/>
      <c r="F360" s="376">
        <f>IFERROR(INDEX(Работы!$1:$1048576,MATCH($C360,Работы!$C:$C,0),MATCH($F$14,Работы!$8:$8,0)),"---")</f>
        <v>0</v>
      </c>
      <c r="G360" s="390"/>
      <c r="H360" s="390"/>
      <c r="K360" s="356"/>
    </row>
    <row r="361" spans="1:11" hidden="1" x14ac:dyDescent="0.25">
      <c r="A361" s="387" t="s">
        <v>437</v>
      </c>
      <c r="B361" s="389">
        <f>Работы!B435</f>
        <v>0</v>
      </c>
      <c r="C361" s="389">
        <f>Работы!C435</f>
        <v>0</v>
      </c>
      <c r="D361" s="388"/>
      <c r="E361" s="388"/>
      <c r="F361" s="376">
        <f>IFERROR(INDEX(Работы!$1:$1048576,MATCH($C361,Работы!$C:$C,0),MATCH($F$14,Работы!$8:$8,0)),"---")</f>
        <v>0</v>
      </c>
      <c r="G361" s="390"/>
      <c r="H361" s="390"/>
      <c r="K361" s="356"/>
    </row>
    <row r="362" spans="1:11" hidden="1" x14ac:dyDescent="0.25">
      <c r="A362" s="387" t="s">
        <v>437</v>
      </c>
      <c r="B362" s="389">
        <f>Работы!B436</f>
        <v>0</v>
      </c>
      <c r="C362" s="389">
        <f>Работы!C436</f>
        <v>0</v>
      </c>
      <c r="D362" s="388"/>
      <c r="E362" s="388"/>
      <c r="F362" s="376">
        <f>IFERROR(INDEX(Работы!$1:$1048576,MATCH($C362,Работы!$C:$C,0),MATCH($F$14,Работы!$8:$8,0)),"---")</f>
        <v>0</v>
      </c>
      <c r="G362" s="390"/>
      <c r="H362" s="390"/>
      <c r="K362" s="356"/>
    </row>
    <row r="363" spans="1:11" hidden="1" x14ac:dyDescent="0.25">
      <c r="A363" s="387" t="s">
        <v>437</v>
      </c>
      <c r="B363" s="389">
        <f>Работы!B437</f>
        <v>0</v>
      </c>
      <c r="C363" s="389">
        <f>Работы!C437</f>
        <v>0</v>
      </c>
      <c r="D363" s="388"/>
      <c r="E363" s="388"/>
      <c r="F363" s="376">
        <f>IFERROR(INDEX(Работы!$1:$1048576,MATCH($C363,Работы!$C:$C,0),MATCH($F$14,Работы!$8:$8,0)),"---")</f>
        <v>0</v>
      </c>
      <c r="G363" s="390"/>
      <c r="H363" s="390"/>
      <c r="K363" s="356"/>
    </row>
    <row r="364" spans="1:11" hidden="1" x14ac:dyDescent="0.25">
      <c r="A364" s="387" t="s">
        <v>437</v>
      </c>
      <c r="B364" s="389">
        <f>Работы!B438</f>
        <v>0</v>
      </c>
      <c r="C364" s="389">
        <f>Работы!C438</f>
        <v>0</v>
      </c>
      <c r="D364" s="388"/>
      <c r="E364" s="388"/>
      <c r="F364" s="376">
        <f>IFERROR(INDEX(Работы!$1:$1048576,MATCH($C364,Работы!$C:$C,0),MATCH($F$14,Работы!$8:$8,0)),"---")</f>
        <v>0</v>
      </c>
      <c r="G364" s="390"/>
      <c r="H364" s="390"/>
      <c r="K364" s="356"/>
    </row>
    <row r="365" spans="1:11" hidden="1" x14ac:dyDescent="0.25">
      <c r="A365" s="387" t="s">
        <v>437</v>
      </c>
      <c r="B365" s="389">
        <f>Работы!B439</f>
        <v>0</v>
      </c>
      <c r="C365" s="389">
        <f>Работы!C439</f>
        <v>0</v>
      </c>
      <c r="D365" s="388"/>
      <c r="E365" s="388"/>
      <c r="F365" s="376">
        <f>IFERROR(INDEX(Работы!$1:$1048576,MATCH($C365,Работы!$C:$C,0),MATCH($F$14,Работы!$8:$8,0)),"---")</f>
        <v>0</v>
      </c>
      <c r="G365" s="390"/>
      <c r="H365" s="390"/>
      <c r="K365" s="356"/>
    </row>
    <row r="366" spans="1:11" hidden="1" x14ac:dyDescent="0.25">
      <c r="A366" s="387" t="s">
        <v>437</v>
      </c>
      <c r="B366" s="389">
        <f>Работы!B440</f>
        <v>0</v>
      </c>
      <c r="C366" s="389">
        <f>Работы!C440</f>
        <v>0</v>
      </c>
      <c r="D366" s="388"/>
      <c r="E366" s="388"/>
      <c r="F366" s="376">
        <f>IFERROR(INDEX(Работы!$1:$1048576,MATCH($C366,Работы!$C:$C,0),MATCH($F$14,Работы!$8:$8,0)),"---")</f>
        <v>0</v>
      </c>
      <c r="G366" s="390"/>
      <c r="H366" s="390"/>
      <c r="K366" s="356"/>
    </row>
    <row r="367" spans="1:11" hidden="1" x14ac:dyDescent="0.25">
      <c r="A367" s="387" t="s">
        <v>437</v>
      </c>
      <c r="B367" s="389">
        <f>Работы!B441</f>
        <v>0</v>
      </c>
      <c r="C367" s="389">
        <f>Работы!C441</f>
        <v>0</v>
      </c>
      <c r="D367" s="388"/>
      <c r="E367" s="388"/>
      <c r="F367" s="376">
        <f>IFERROR(INDEX(Работы!$1:$1048576,MATCH($C367,Работы!$C:$C,0),MATCH($F$14,Работы!$8:$8,0)),"---")</f>
        <v>0</v>
      </c>
      <c r="G367" s="390"/>
      <c r="H367" s="390"/>
      <c r="K367" s="356"/>
    </row>
    <row r="368" spans="1:11" hidden="1" x14ac:dyDescent="0.25">
      <c r="A368" s="387" t="s">
        <v>437</v>
      </c>
      <c r="B368" s="389">
        <f>Работы!B442</f>
        <v>0</v>
      </c>
      <c r="C368" s="389">
        <f>Работы!C442</f>
        <v>0</v>
      </c>
      <c r="D368" s="388"/>
      <c r="E368" s="388"/>
      <c r="F368" s="376">
        <f>IFERROR(INDEX(Работы!$1:$1048576,MATCH($C368,Работы!$C:$C,0),MATCH($F$14,Работы!$8:$8,0)),"---")</f>
        <v>0</v>
      </c>
      <c r="G368" s="390"/>
      <c r="H368" s="390"/>
      <c r="K368" s="356"/>
    </row>
    <row r="369" spans="1:11" hidden="1" x14ac:dyDescent="0.25">
      <c r="A369" s="387" t="s">
        <v>437</v>
      </c>
      <c r="B369" s="389">
        <f>Работы!B443</f>
        <v>0</v>
      </c>
      <c r="C369" s="389">
        <f>Работы!C443</f>
        <v>0</v>
      </c>
      <c r="D369" s="388"/>
      <c r="E369" s="388"/>
      <c r="F369" s="376">
        <f>IFERROR(INDEX(Работы!$1:$1048576,MATCH($C369,Работы!$C:$C,0),MATCH($F$14,Работы!$8:$8,0)),"---")</f>
        <v>0</v>
      </c>
      <c r="G369" s="390"/>
      <c r="H369" s="390"/>
      <c r="K369" s="356"/>
    </row>
    <row r="370" spans="1:11" hidden="1" x14ac:dyDescent="0.25">
      <c r="A370" s="387" t="s">
        <v>437</v>
      </c>
      <c r="B370" s="389">
        <f>Работы!B444</f>
        <v>0</v>
      </c>
      <c r="C370" s="389">
        <f>Работы!C444</f>
        <v>0</v>
      </c>
      <c r="D370" s="388"/>
      <c r="E370" s="388"/>
      <c r="F370" s="376">
        <f>IFERROR(INDEX(Работы!$1:$1048576,MATCH($C370,Работы!$C:$C,0),MATCH($F$14,Работы!$8:$8,0)),"---")</f>
        <v>0</v>
      </c>
      <c r="G370" s="390"/>
      <c r="H370" s="390"/>
      <c r="K370" s="356"/>
    </row>
    <row r="371" spans="1:11" hidden="1" x14ac:dyDescent="0.25">
      <c r="A371" s="387" t="s">
        <v>437</v>
      </c>
      <c r="B371" s="389">
        <f>Работы!B445</f>
        <v>0</v>
      </c>
      <c r="C371" s="389">
        <f>Работы!C445</f>
        <v>0</v>
      </c>
      <c r="D371" s="388"/>
      <c r="E371" s="388"/>
      <c r="F371" s="376">
        <f>IFERROR(INDEX(Работы!$1:$1048576,MATCH($C371,Работы!$C:$C,0),MATCH($F$14,Работы!$8:$8,0)),"---")</f>
        <v>0</v>
      </c>
      <c r="G371" s="390"/>
      <c r="H371" s="390"/>
      <c r="K371" s="356"/>
    </row>
    <row r="372" spans="1:11" hidden="1" x14ac:dyDescent="0.25">
      <c r="A372" s="387" t="s">
        <v>437</v>
      </c>
      <c r="B372" s="389">
        <f>Работы!B446</f>
        <v>0</v>
      </c>
      <c r="C372" s="389">
        <f>Работы!C446</f>
        <v>0</v>
      </c>
      <c r="D372" s="388"/>
      <c r="E372" s="388"/>
      <c r="F372" s="376">
        <f>IFERROR(INDEX(Работы!$1:$1048576,MATCH($C372,Работы!$C:$C,0),MATCH($F$14,Работы!$8:$8,0)),"---")</f>
        <v>0</v>
      </c>
      <c r="G372" s="390"/>
      <c r="H372" s="390"/>
      <c r="K372" s="356"/>
    </row>
    <row r="373" spans="1:11" hidden="1" x14ac:dyDescent="0.25">
      <c r="A373" s="387" t="s">
        <v>437</v>
      </c>
      <c r="B373" s="389">
        <f>Работы!B447</f>
        <v>0</v>
      </c>
      <c r="C373" s="389">
        <f>Работы!C447</f>
        <v>0</v>
      </c>
      <c r="D373" s="388"/>
      <c r="E373" s="388"/>
      <c r="F373" s="376">
        <f>IFERROR(INDEX(Работы!$1:$1048576,MATCH($C373,Работы!$C:$C,0),MATCH($F$14,Работы!$8:$8,0)),"---")</f>
        <v>0</v>
      </c>
      <c r="G373" s="390"/>
      <c r="H373" s="390"/>
      <c r="K373" s="356"/>
    </row>
    <row r="374" spans="1:11" hidden="1" x14ac:dyDescent="0.25">
      <c r="A374" s="387" t="s">
        <v>437</v>
      </c>
      <c r="B374" s="389">
        <f>Работы!B448</f>
        <v>0</v>
      </c>
      <c r="C374" s="389">
        <f>Работы!C448</f>
        <v>0</v>
      </c>
      <c r="D374" s="388"/>
      <c r="E374" s="388"/>
      <c r="F374" s="376">
        <f>IFERROR(INDEX(Работы!$1:$1048576,MATCH($C374,Работы!$C:$C,0),MATCH($F$14,Работы!$8:$8,0)),"---")</f>
        <v>0</v>
      </c>
      <c r="G374" s="390"/>
      <c r="H374" s="390"/>
      <c r="K374" s="356"/>
    </row>
    <row r="375" spans="1:11" hidden="1" x14ac:dyDescent="0.25">
      <c r="A375" s="387" t="s">
        <v>437</v>
      </c>
      <c r="B375" s="389">
        <f>Работы!B449</f>
        <v>0</v>
      </c>
      <c r="C375" s="389">
        <f>Работы!C449</f>
        <v>0</v>
      </c>
      <c r="D375" s="388"/>
      <c r="E375" s="388"/>
      <c r="F375" s="376">
        <f>IFERROR(INDEX(Работы!$1:$1048576,MATCH($C375,Работы!$C:$C,0),MATCH($F$14,Работы!$8:$8,0)),"---")</f>
        <v>0</v>
      </c>
      <c r="G375" s="390"/>
      <c r="H375" s="390"/>
      <c r="K375" s="356"/>
    </row>
    <row r="376" spans="1:11" hidden="1" x14ac:dyDescent="0.25">
      <c r="A376" s="387" t="s">
        <v>437</v>
      </c>
      <c r="B376" s="389">
        <f>Работы!B450</f>
        <v>0</v>
      </c>
      <c r="C376" s="389">
        <f>Работы!C450</f>
        <v>0</v>
      </c>
      <c r="D376" s="388"/>
      <c r="E376" s="388"/>
      <c r="F376" s="376">
        <f>IFERROR(INDEX(Работы!$1:$1048576,MATCH($C376,Работы!$C:$C,0),MATCH($F$14,Работы!$8:$8,0)),"---")</f>
        <v>0</v>
      </c>
      <c r="G376" s="390"/>
      <c r="H376" s="390"/>
      <c r="K376" s="356"/>
    </row>
    <row r="377" spans="1:11" hidden="1" x14ac:dyDescent="0.25">
      <c r="A377" s="387" t="s">
        <v>437</v>
      </c>
      <c r="B377" s="389">
        <f>Работы!B451</f>
        <v>0</v>
      </c>
      <c r="C377" s="389">
        <f>Работы!C451</f>
        <v>0</v>
      </c>
      <c r="D377" s="388"/>
      <c r="E377" s="388"/>
      <c r="F377" s="376">
        <f>IFERROR(INDEX(Работы!$1:$1048576,MATCH($C377,Работы!$C:$C,0),MATCH($F$14,Работы!$8:$8,0)),"---")</f>
        <v>0</v>
      </c>
      <c r="G377" s="390"/>
      <c r="H377" s="390"/>
      <c r="K377" s="356"/>
    </row>
    <row r="378" spans="1:11" hidden="1" x14ac:dyDescent="0.25">
      <c r="A378" s="387" t="s">
        <v>437</v>
      </c>
      <c r="B378" s="389">
        <f>Работы!B452</f>
        <v>0</v>
      </c>
      <c r="C378" s="389">
        <f>Работы!C452</f>
        <v>0</v>
      </c>
      <c r="D378" s="388"/>
      <c r="E378" s="388"/>
      <c r="F378" s="376">
        <f>IFERROR(INDEX(Работы!$1:$1048576,MATCH($C378,Работы!$C:$C,0),MATCH($F$14,Работы!$8:$8,0)),"---")</f>
        <v>0</v>
      </c>
      <c r="G378" s="390"/>
      <c r="H378" s="390"/>
      <c r="K378" s="356"/>
    </row>
    <row r="379" spans="1:11" hidden="1" x14ac:dyDescent="0.25">
      <c r="A379" s="387" t="s">
        <v>437</v>
      </c>
      <c r="B379" s="389">
        <f>Работы!B453</f>
        <v>0</v>
      </c>
      <c r="C379" s="389">
        <f>Работы!C453</f>
        <v>0</v>
      </c>
      <c r="D379" s="388"/>
      <c r="E379" s="388"/>
      <c r="F379" s="376">
        <f>IFERROR(INDEX(Работы!$1:$1048576,MATCH($C379,Работы!$C:$C,0),MATCH($F$14,Работы!$8:$8,0)),"---")</f>
        <v>0</v>
      </c>
      <c r="G379" s="390"/>
      <c r="H379" s="390"/>
      <c r="K379" s="356"/>
    </row>
    <row r="380" spans="1:11" hidden="1" x14ac:dyDescent="0.25">
      <c r="A380" s="387" t="s">
        <v>437</v>
      </c>
      <c r="B380" s="389">
        <f>Работы!B454</f>
        <v>0</v>
      </c>
      <c r="C380" s="389">
        <f>Работы!C454</f>
        <v>0</v>
      </c>
      <c r="D380" s="388"/>
      <c r="E380" s="388"/>
      <c r="F380" s="376">
        <f>IFERROR(INDEX(Работы!$1:$1048576,MATCH($C380,Работы!$C:$C,0),MATCH($F$14,Работы!$8:$8,0)),"---")</f>
        <v>0</v>
      </c>
      <c r="G380" s="390"/>
      <c r="H380" s="390"/>
      <c r="K380" s="356"/>
    </row>
    <row r="381" spans="1:11" hidden="1" x14ac:dyDescent="0.25">
      <c r="A381" s="387" t="s">
        <v>437</v>
      </c>
      <c r="B381" s="389">
        <f>Работы!B455</f>
        <v>0</v>
      </c>
      <c r="C381" s="389">
        <f>Работы!C455</f>
        <v>0</v>
      </c>
      <c r="D381" s="388"/>
      <c r="E381" s="388"/>
      <c r="F381" s="376">
        <f>IFERROR(INDEX(Работы!$1:$1048576,MATCH($C381,Работы!$C:$C,0),MATCH($F$14,Работы!$8:$8,0)),"---")</f>
        <v>0</v>
      </c>
      <c r="G381" s="390"/>
      <c r="H381" s="390"/>
      <c r="K381" s="356"/>
    </row>
    <row r="382" spans="1:11" hidden="1" x14ac:dyDescent="0.25">
      <c r="A382" s="387" t="s">
        <v>437</v>
      </c>
      <c r="B382" s="389">
        <f>Работы!B456</f>
        <v>0</v>
      </c>
      <c r="C382" s="389">
        <f>Работы!C456</f>
        <v>0</v>
      </c>
      <c r="D382" s="388"/>
      <c r="E382" s="388"/>
      <c r="F382" s="376">
        <f>IFERROR(INDEX(Работы!$1:$1048576,MATCH($C382,Работы!$C:$C,0),MATCH($F$14,Работы!$8:$8,0)),"---")</f>
        <v>0</v>
      </c>
      <c r="G382" s="390"/>
      <c r="H382" s="390"/>
      <c r="K382" s="356"/>
    </row>
    <row r="383" spans="1:11" hidden="1" x14ac:dyDescent="0.25">
      <c r="A383" s="387" t="s">
        <v>437</v>
      </c>
      <c r="B383" s="389">
        <f>Работы!B457</f>
        <v>0</v>
      </c>
      <c r="C383" s="389">
        <f>Работы!C457</f>
        <v>0</v>
      </c>
      <c r="D383" s="388"/>
      <c r="E383" s="388"/>
      <c r="F383" s="376">
        <f>IFERROR(INDEX(Работы!$1:$1048576,MATCH($C383,Работы!$C:$C,0),MATCH($F$14,Работы!$8:$8,0)),"---")</f>
        <v>0</v>
      </c>
      <c r="G383" s="390"/>
      <c r="H383" s="390"/>
      <c r="K383" s="356"/>
    </row>
    <row r="384" spans="1:11" hidden="1" x14ac:dyDescent="0.25">
      <c r="A384" s="387" t="s">
        <v>437</v>
      </c>
      <c r="B384" s="389">
        <f>Работы!B458</f>
        <v>0</v>
      </c>
      <c r="C384" s="389">
        <f>Работы!C458</f>
        <v>0</v>
      </c>
      <c r="D384" s="388"/>
      <c r="E384" s="388"/>
      <c r="F384" s="376">
        <f>IFERROR(INDEX(Работы!$1:$1048576,MATCH($C384,Работы!$C:$C,0),MATCH($F$14,Работы!$8:$8,0)),"---")</f>
        <v>0</v>
      </c>
      <c r="G384" s="390"/>
      <c r="H384" s="390"/>
      <c r="K384" s="356"/>
    </row>
    <row r="385" spans="1:11" hidden="1" x14ac:dyDescent="0.25">
      <c r="A385" s="387" t="s">
        <v>437</v>
      </c>
      <c r="B385" s="389">
        <f>Работы!B459</f>
        <v>0</v>
      </c>
      <c r="C385" s="389">
        <f>Работы!C459</f>
        <v>0</v>
      </c>
      <c r="D385" s="388"/>
      <c r="E385" s="388"/>
      <c r="F385" s="376">
        <f>IFERROR(INDEX(Работы!$1:$1048576,MATCH($C385,Работы!$C:$C,0),MATCH($F$14,Работы!$8:$8,0)),"---")</f>
        <v>0</v>
      </c>
      <c r="G385" s="390"/>
      <c r="H385" s="390"/>
      <c r="K385" s="356"/>
    </row>
    <row r="386" spans="1:11" hidden="1" x14ac:dyDescent="0.25">
      <c r="A386" s="387" t="s">
        <v>437</v>
      </c>
      <c r="B386" s="389">
        <f>Работы!B460</f>
        <v>0</v>
      </c>
      <c r="C386" s="389">
        <f>Работы!C460</f>
        <v>0</v>
      </c>
      <c r="D386" s="388"/>
      <c r="E386" s="388"/>
      <c r="F386" s="376">
        <f>IFERROR(INDEX(Работы!$1:$1048576,MATCH($C386,Работы!$C:$C,0),MATCH($F$14,Работы!$8:$8,0)),"---")</f>
        <v>0</v>
      </c>
      <c r="G386" s="390"/>
      <c r="H386" s="390"/>
      <c r="K386" s="356"/>
    </row>
    <row r="387" spans="1:11" hidden="1" x14ac:dyDescent="0.25">
      <c r="A387" s="387" t="s">
        <v>437</v>
      </c>
      <c r="B387" s="389">
        <f>Работы!B461</f>
        <v>0</v>
      </c>
      <c r="C387" s="389">
        <f>Работы!C461</f>
        <v>0</v>
      </c>
      <c r="D387" s="388"/>
      <c r="E387" s="388"/>
      <c r="F387" s="376">
        <f>IFERROR(INDEX(Работы!$1:$1048576,MATCH($C387,Работы!$C:$C,0),MATCH($F$14,Работы!$8:$8,0)),"---")</f>
        <v>0</v>
      </c>
      <c r="G387" s="390"/>
      <c r="H387" s="390"/>
      <c r="K387" s="356"/>
    </row>
    <row r="388" spans="1:11" hidden="1" x14ac:dyDescent="0.25">
      <c r="A388" s="387" t="s">
        <v>437</v>
      </c>
      <c r="B388" s="389">
        <f>Работы!B462</f>
        <v>0</v>
      </c>
      <c r="C388" s="389">
        <f>Работы!C462</f>
        <v>0</v>
      </c>
      <c r="D388" s="388"/>
      <c r="E388" s="388"/>
      <c r="F388" s="376">
        <f>IFERROR(INDEX(Работы!$1:$1048576,MATCH($C388,Работы!$C:$C,0),MATCH($F$14,Работы!$8:$8,0)),"---")</f>
        <v>0</v>
      </c>
      <c r="G388" s="390"/>
      <c r="H388" s="390"/>
      <c r="K388" s="356"/>
    </row>
    <row r="389" spans="1:11" hidden="1" x14ac:dyDescent="0.25">
      <c r="A389" s="387" t="s">
        <v>437</v>
      </c>
      <c r="B389" s="389">
        <f>Работы!B463</f>
        <v>0</v>
      </c>
      <c r="C389" s="389">
        <f>Работы!C463</f>
        <v>0</v>
      </c>
      <c r="D389" s="388"/>
      <c r="E389" s="388"/>
      <c r="F389" s="376">
        <f>IFERROR(INDEX(Работы!$1:$1048576,MATCH($C389,Работы!$C:$C,0),MATCH($F$14,Работы!$8:$8,0)),"---")</f>
        <v>0</v>
      </c>
      <c r="G389" s="390"/>
      <c r="H389" s="390"/>
      <c r="K389" s="356"/>
    </row>
    <row r="390" spans="1:11" hidden="1" x14ac:dyDescent="0.25">
      <c r="A390" s="387" t="s">
        <v>437</v>
      </c>
      <c r="B390" s="389">
        <f>Работы!B464</f>
        <v>0</v>
      </c>
      <c r="C390" s="389">
        <f>Работы!C464</f>
        <v>0</v>
      </c>
      <c r="D390" s="388"/>
      <c r="E390" s="388"/>
      <c r="F390" s="376">
        <f>IFERROR(INDEX(Работы!$1:$1048576,MATCH($C390,Работы!$C:$C,0),MATCH($F$14,Работы!$8:$8,0)),"---")</f>
        <v>0</v>
      </c>
      <c r="G390" s="390"/>
      <c r="H390" s="390"/>
      <c r="K390" s="356"/>
    </row>
    <row r="391" spans="1:11" hidden="1" x14ac:dyDescent="0.25">
      <c r="A391" s="387" t="s">
        <v>437</v>
      </c>
      <c r="B391" s="389">
        <f>Работы!B465</f>
        <v>0</v>
      </c>
      <c r="C391" s="389">
        <f>Работы!C465</f>
        <v>0</v>
      </c>
      <c r="D391" s="388"/>
      <c r="E391" s="388"/>
      <c r="F391" s="376">
        <f>IFERROR(INDEX(Работы!$1:$1048576,MATCH($C391,Работы!$C:$C,0),MATCH($F$14,Работы!$8:$8,0)),"---")</f>
        <v>0</v>
      </c>
      <c r="G391" s="390"/>
      <c r="H391" s="390"/>
      <c r="K391" s="356"/>
    </row>
    <row r="392" spans="1:11" hidden="1" x14ac:dyDescent="0.25">
      <c r="A392" s="387" t="s">
        <v>437</v>
      </c>
      <c r="B392" s="389">
        <f>Работы!B466</f>
        <v>0</v>
      </c>
      <c r="C392" s="389">
        <f>Работы!C466</f>
        <v>0</v>
      </c>
      <c r="D392" s="388"/>
      <c r="E392" s="388"/>
      <c r="F392" s="376">
        <f>IFERROR(INDEX(Работы!$1:$1048576,MATCH($C392,Работы!$C:$C,0),MATCH($F$14,Работы!$8:$8,0)),"---")</f>
        <v>0</v>
      </c>
      <c r="G392" s="390"/>
      <c r="H392" s="390"/>
      <c r="K392" s="356"/>
    </row>
    <row r="393" spans="1:11" hidden="1" x14ac:dyDescent="0.25">
      <c r="A393" s="387" t="s">
        <v>437</v>
      </c>
      <c r="B393" s="389">
        <f>Работы!B467</f>
        <v>0</v>
      </c>
      <c r="C393" s="389">
        <f>Работы!C467</f>
        <v>0</v>
      </c>
      <c r="D393" s="388"/>
      <c r="E393" s="388"/>
      <c r="F393" s="376">
        <f>IFERROR(INDEX(Работы!$1:$1048576,MATCH($C393,Работы!$C:$C,0),MATCH($F$14,Работы!$8:$8,0)),"---")</f>
        <v>0</v>
      </c>
      <c r="G393" s="390"/>
      <c r="H393" s="390"/>
      <c r="K393" s="356"/>
    </row>
    <row r="394" spans="1:11" hidden="1" x14ac:dyDescent="0.25">
      <c r="A394" s="387" t="s">
        <v>437</v>
      </c>
      <c r="B394" s="389">
        <f>Работы!B468</f>
        <v>0</v>
      </c>
      <c r="C394" s="389">
        <f>Работы!C468</f>
        <v>0</v>
      </c>
      <c r="D394" s="388"/>
      <c r="E394" s="388"/>
      <c r="F394" s="376">
        <f>IFERROR(INDEX(Работы!$1:$1048576,MATCH($C394,Работы!$C:$C,0),MATCH($F$14,Работы!$8:$8,0)),"---")</f>
        <v>0</v>
      </c>
      <c r="G394" s="390"/>
      <c r="H394" s="390"/>
      <c r="K394" s="356"/>
    </row>
    <row r="395" spans="1:11" hidden="1" x14ac:dyDescent="0.25">
      <c r="A395" s="387" t="s">
        <v>437</v>
      </c>
      <c r="B395" s="389">
        <f>Работы!B469</f>
        <v>0</v>
      </c>
      <c r="C395" s="389">
        <f>Работы!C469</f>
        <v>0</v>
      </c>
      <c r="D395" s="388"/>
      <c r="E395" s="388"/>
      <c r="F395" s="376">
        <f>IFERROR(INDEX(Работы!$1:$1048576,MATCH($C395,Работы!$C:$C,0),MATCH($F$14,Работы!$8:$8,0)),"---")</f>
        <v>0</v>
      </c>
      <c r="G395" s="390"/>
      <c r="H395" s="390"/>
      <c r="K395" s="356"/>
    </row>
    <row r="396" spans="1:11" hidden="1" x14ac:dyDescent="0.25">
      <c r="A396" s="387" t="s">
        <v>437</v>
      </c>
      <c r="B396" s="389">
        <f>Работы!B470</f>
        <v>0</v>
      </c>
      <c r="C396" s="389">
        <f>Работы!C470</f>
        <v>0</v>
      </c>
      <c r="D396" s="388"/>
      <c r="E396" s="388"/>
      <c r="F396" s="376">
        <f>IFERROR(INDEX(Работы!$1:$1048576,MATCH($C396,Работы!$C:$C,0),MATCH($F$14,Работы!$8:$8,0)),"---")</f>
        <v>0</v>
      </c>
      <c r="G396" s="390"/>
      <c r="H396" s="390"/>
      <c r="K396" s="356"/>
    </row>
    <row r="397" spans="1:11" hidden="1" x14ac:dyDescent="0.25">
      <c r="A397" s="387" t="s">
        <v>437</v>
      </c>
      <c r="B397" s="389">
        <f>Работы!B471</f>
        <v>0</v>
      </c>
      <c r="C397" s="389">
        <f>Работы!C471</f>
        <v>0</v>
      </c>
      <c r="D397" s="388"/>
      <c r="E397" s="388"/>
      <c r="F397" s="376">
        <f>IFERROR(INDEX(Работы!$1:$1048576,MATCH($C397,Работы!$C:$C,0),MATCH($F$14,Работы!$8:$8,0)),"---")</f>
        <v>0</v>
      </c>
      <c r="G397" s="390"/>
      <c r="H397" s="390"/>
      <c r="K397" s="356"/>
    </row>
    <row r="398" spans="1:11" hidden="1" x14ac:dyDescent="0.25">
      <c r="A398" s="387" t="s">
        <v>437</v>
      </c>
      <c r="B398" s="389">
        <f>Работы!B472</f>
        <v>0</v>
      </c>
      <c r="C398" s="389">
        <f>Работы!C472</f>
        <v>0</v>
      </c>
      <c r="D398" s="388"/>
      <c r="E398" s="388"/>
      <c r="F398" s="376">
        <f>IFERROR(INDEX(Работы!$1:$1048576,MATCH($C398,Работы!$C:$C,0),MATCH($F$14,Работы!$8:$8,0)),"---")</f>
        <v>0</v>
      </c>
      <c r="G398" s="390"/>
      <c r="H398" s="390"/>
      <c r="K398" s="356"/>
    </row>
    <row r="399" spans="1:11" hidden="1" x14ac:dyDescent="0.25">
      <c r="A399" s="387" t="s">
        <v>437</v>
      </c>
      <c r="B399" s="389">
        <f>Работы!B473</f>
        <v>0</v>
      </c>
      <c r="C399" s="389">
        <f>Работы!C473</f>
        <v>0</v>
      </c>
      <c r="D399" s="388"/>
      <c r="E399" s="388"/>
      <c r="F399" s="376">
        <f>IFERROR(INDEX(Работы!$1:$1048576,MATCH($C399,Работы!$C:$C,0),MATCH($F$14,Работы!$8:$8,0)),"---")</f>
        <v>0</v>
      </c>
      <c r="G399" s="390"/>
      <c r="H399" s="390"/>
      <c r="K399" s="356"/>
    </row>
    <row r="400" spans="1:11" hidden="1" x14ac:dyDescent="0.25">
      <c r="A400" s="387" t="s">
        <v>437</v>
      </c>
      <c r="B400" s="389">
        <f>Работы!B474</f>
        <v>0</v>
      </c>
      <c r="C400" s="389">
        <f>Работы!C474</f>
        <v>0</v>
      </c>
      <c r="D400" s="388"/>
      <c r="E400" s="388"/>
      <c r="F400" s="376">
        <f>IFERROR(INDEX(Работы!$1:$1048576,MATCH($C400,Работы!$C:$C,0),MATCH($F$14,Работы!$8:$8,0)),"---")</f>
        <v>0</v>
      </c>
      <c r="G400" s="390"/>
      <c r="H400" s="390"/>
      <c r="K400" s="356"/>
    </row>
    <row r="401" spans="1:11" hidden="1" x14ac:dyDescent="0.25">
      <c r="A401" s="387" t="s">
        <v>437</v>
      </c>
      <c r="B401" s="389">
        <f>Работы!B475</f>
        <v>0</v>
      </c>
      <c r="C401" s="389">
        <f>Работы!C475</f>
        <v>0</v>
      </c>
      <c r="D401" s="388"/>
      <c r="E401" s="388"/>
      <c r="F401" s="376">
        <f>IFERROR(INDEX(Работы!$1:$1048576,MATCH($C401,Работы!$C:$C,0),MATCH($F$14,Работы!$8:$8,0)),"---")</f>
        <v>0</v>
      </c>
      <c r="G401" s="390"/>
      <c r="H401" s="390"/>
      <c r="K401" s="356"/>
    </row>
    <row r="402" spans="1:11" hidden="1" x14ac:dyDescent="0.25">
      <c r="A402" s="387" t="s">
        <v>437</v>
      </c>
      <c r="B402" s="389">
        <f>Работы!B476</f>
        <v>0</v>
      </c>
      <c r="C402" s="389">
        <f>Работы!C476</f>
        <v>0</v>
      </c>
      <c r="D402" s="388"/>
      <c r="E402" s="388"/>
      <c r="F402" s="376">
        <f>IFERROR(INDEX(Работы!$1:$1048576,MATCH($C402,Работы!$C:$C,0),MATCH($F$14,Работы!$8:$8,0)),"---")</f>
        <v>0</v>
      </c>
      <c r="G402" s="390"/>
      <c r="H402" s="390"/>
      <c r="K402" s="356"/>
    </row>
    <row r="403" spans="1:11" hidden="1" x14ac:dyDescent="0.25">
      <c r="A403" s="387" t="s">
        <v>437</v>
      </c>
      <c r="B403" s="389">
        <f>Работы!B477</f>
        <v>0</v>
      </c>
      <c r="C403" s="389">
        <f>Работы!C477</f>
        <v>0</v>
      </c>
      <c r="D403" s="388"/>
      <c r="E403" s="388"/>
      <c r="F403" s="376">
        <f>IFERROR(INDEX(Работы!$1:$1048576,MATCH($C403,Работы!$C:$C,0),MATCH($F$14,Работы!$8:$8,0)),"---")</f>
        <v>0</v>
      </c>
      <c r="G403" s="390"/>
      <c r="H403" s="390"/>
      <c r="K403" s="356"/>
    </row>
    <row r="404" spans="1:11" hidden="1" x14ac:dyDescent="0.25">
      <c r="A404" s="387" t="s">
        <v>437</v>
      </c>
      <c r="B404" s="389">
        <f>Работы!B478</f>
        <v>0</v>
      </c>
      <c r="C404" s="389">
        <f>Работы!C478</f>
        <v>0</v>
      </c>
      <c r="D404" s="388"/>
      <c r="E404" s="388"/>
      <c r="F404" s="376">
        <f>IFERROR(INDEX(Работы!$1:$1048576,MATCH($C404,Работы!$C:$C,0),MATCH($F$14,Работы!$8:$8,0)),"---")</f>
        <v>0</v>
      </c>
      <c r="G404" s="390"/>
      <c r="H404" s="390"/>
      <c r="K404" s="356"/>
    </row>
    <row r="405" spans="1:11" hidden="1" x14ac:dyDescent="0.25">
      <c r="A405" s="387" t="s">
        <v>437</v>
      </c>
      <c r="B405" s="389">
        <f>Работы!B479</f>
        <v>0</v>
      </c>
      <c r="C405" s="389">
        <f>Работы!C479</f>
        <v>0</v>
      </c>
      <c r="D405" s="388"/>
      <c r="E405" s="388"/>
      <c r="F405" s="376">
        <f>IFERROR(INDEX(Работы!$1:$1048576,MATCH($C405,Работы!$C:$C,0),MATCH($F$14,Работы!$8:$8,0)),"---")</f>
        <v>0</v>
      </c>
      <c r="G405" s="390"/>
      <c r="H405" s="390"/>
      <c r="K405" s="356"/>
    </row>
    <row r="406" spans="1:11" hidden="1" x14ac:dyDescent="0.25">
      <c r="A406" s="387" t="s">
        <v>437</v>
      </c>
      <c r="B406" s="389">
        <f>Работы!B480</f>
        <v>0</v>
      </c>
      <c r="C406" s="389">
        <f>Работы!C480</f>
        <v>0</v>
      </c>
      <c r="D406" s="388"/>
      <c r="E406" s="388"/>
      <c r="F406" s="376">
        <f>IFERROR(INDEX(Работы!$1:$1048576,MATCH($C406,Работы!$C:$C,0),MATCH($F$14,Работы!$8:$8,0)),"---")</f>
        <v>0</v>
      </c>
      <c r="G406" s="390"/>
      <c r="H406" s="390"/>
      <c r="K406" s="356"/>
    </row>
    <row r="407" spans="1:11" hidden="1" x14ac:dyDescent="0.25">
      <c r="A407" s="387" t="s">
        <v>437</v>
      </c>
      <c r="B407" s="389">
        <f>Работы!B481</f>
        <v>0</v>
      </c>
      <c r="C407" s="389">
        <f>Работы!C481</f>
        <v>0</v>
      </c>
      <c r="D407" s="388"/>
      <c r="E407" s="388"/>
      <c r="F407" s="376">
        <f>IFERROR(INDEX(Работы!$1:$1048576,MATCH($C407,Работы!$C:$C,0),MATCH($F$14,Работы!$8:$8,0)),"---")</f>
        <v>0</v>
      </c>
      <c r="G407" s="390"/>
      <c r="H407" s="390"/>
      <c r="K407" s="356"/>
    </row>
    <row r="408" spans="1:11" hidden="1" x14ac:dyDescent="0.25">
      <c r="A408" s="387" t="s">
        <v>437</v>
      </c>
      <c r="B408" s="389">
        <f>Работы!B482</f>
        <v>0</v>
      </c>
      <c r="C408" s="389">
        <f>Работы!C482</f>
        <v>0</v>
      </c>
      <c r="D408" s="388"/>
      <c r="E408" s="388"/>
      <c r="F408" s="376">
        <f>IFERROR(INDEX(Работы!$1:$1048576,MATCH($C408,Работы!$C:$C,0),MATCH($F$14,Работы!$8:$8,0)),"---")</f>
        <v>0</v>
      </c>
      <c r="G408" s="390"/>
      <c r="H408" s="390"/>
      <c r="K408" s="356"/>
    </row>
    <row r="409" spans="1:11" hidden="1" x14ac:dyDescent="0.25">
      <c r="A409" s="387" t="s">
        <v>437</v>
      </c>
      <c r="B409" s="389">
        <f>Работы!B483</f>
        <v>0</v>
      </c>
      <c r="C409" s="389">
        <f>Работы!C483</f>
        <v>0</v>
      </c>
      <c r="D409" s="388"/>
      <c r="E409" s="388"/>
      <c r="F409" s="376">
        <f>IFERROR(INDEX(Работы!$1:$1048576,MATCH($C409,Работы!$C:$C,0),MATCH($F$14,Работы!$8:$8,0)),"---")</f>
        <v>0</v>
      </c>
      <c r="G409" s="390"/>
      <c r="H409" s="390"/>
      <c r="K409" s="356"/>
    </row>
    <row r="410" spans="1:11" hidden="1" x14ac:dyDescent="0.25">
      <c r="A410" s="387" t="s">
        <v>437</v>
      </c>
      <c r="B410" s="389">
        <f>Работы!B484</f>
        <v>0</v>
      </c>
      <c r="C410" s="389">
        <f>Работы!C484</f>
        <v>0</v>
      </c>
      <c r="D410" s="388"/>
      <c r="E410" s="388"/>
      <c r="F410" s="376">
        <f>IFERROR(INDEX(Работы!$1:$1048576,MATCH($C410,Работы!$C:$C,0),MATCH($F$14,Работы!$8:$8,0)),"---")</f>
        <v>0</v>
      </c>
      <c r="G410" s="390"/>
      <c r="H410" s="390"/>
      <c r="K410" s="356"/>
    </row>
    <row r="411" spans="1:11" hidden="1" x14ac:dyDescent="0.25">
      <c r="A411" s="387" t="s">
        <v>437</v>
      </c>
      <c r="B411" s="389">
        <f>Работы!B485</f>
        <v>0</v>
      </c>
      <c r="C411" s="389">
        <f>Работы!C485</f>
        <v>0</v>
      </c>
      <c r="D411" s="388"/>
      <c r="E411" s="388"/>
      <c r="F411" s="376">
        <f>IFERROR(INDEX(Работы!$1:$1048576,MATCH($C411,Работы!$C:$C,0),MATCH($F$14,Работы!$8:$8,0)),"---")</f>
        <v>0</v>
      </c>
      <c r="G411" s="390"/>
      <c r="H411" s="390"/>
      <c r="K411" s="356"/>
    </row>
    <row r="412" spans="1:11" hidden="1" x14ac:dyDescent="0.25">
      <c r="A412" s="387" t="s">
        <v>437</v>
      </c>
      <c r="B412" s="389">
        <f>Работы!B486</f>
        <v>0</v>
      </c>
      <c r="C412" s="389">
        <f>Работы!C486</f>
        <v>0</v>
      </c>
      <c r="D412" s="388"/>
      <c r="E412" s="388"/>
      <c r="F412" s="376">
        <f>IFERROR(INDEX(Работы!$1:$1048576,MATCH($C412,Работы!$C:$C,0),MATCH($F$14,Работы!$8:$8,0)),"---")</f>
        <v>0</v>
      </c>
      <c r="G412" s="390"/>
      <c r="H412" s="390"/>
      <c r="K412" s="356"/>
    </row>
    <row r="413" spans="1:11" hidden="1" x14ac:dyDescent="0.25">
      <c r="A413" s="387" t="s">
        <v>437</v>
      </c>
      <c r="B413" s="389">
        <f>Работы!B487</f>
        <v>0</v>
      </c>
      <c r="C413" s="389">
        <f>Работы!C487</f>
        <v>0</v>
      </c>
      <c r="D413" s="388"/>
      <c r="E413" s="388"/>
      <c r="F413" s="376">
        <f>IFERROR(INDEX(Работы!$1:$1048576,MATCH($C413,Работы!$C:$C,0),MATCH($F$14,Работы!$8:$8,0)),"---")</f>
        <v>0</v>
      </c>
      <c r="G413" s="390"/>
      <c r="H413" s="390"/>
      <c r="K413" s="356"/>
    </row>
    <row r="414" spans="1:11" hidden="1" x14ac:dyDescent="0.25">
      <c r="A414" s="387" t="s">
        <v>437</v>
      </c>
      <c r="B414" s="389">
        <f>Работы!B488</f>
        <v>0</v>
      </c>
      <c r="C414" s="389">
        <f>Работы!C488</f>
        <v>0</v>
      </c>
      <c r="D414" s="388"/>
      <c r="E414" s="388"/>
      <c r="F414" s="376">
        <f>IFERROR(INDEX(Работы!$1:$1048576,MATCH($C414,Работы!$C:$C,0),MATCH($F$14,Работы!$8:$8,0)),"---")</f>
        <v>0</v>
      </c>
      <c r="G414" s="390"/>
      <c r="H414" s="390"/>
      <c r="K414" s="356"/>
    </row>
    <row r="415" spans="1:11" hidden="1" x14ac:dyDescent="0.25">
      <c r="A415" s="387" t="s">
        <v>437</v>
      </c>
      <c r="B415" s="389">
        <f>Работы!B489</f>
        <v>0</v>
      </c>
      <c r="C415" s="389">
        <f>Работы!C489</f>
        <v>0</v>
      </c>
      <c r="D415" s="388"/>
      <c r="E415" s="388"/>
      <c r="F415" s="376">
        <f>IFERROR(INDEX(Работы!$1:$1048576,MATCH($C415,Работы!$C:$C,0),MATCH($F$14,Работы!$8:$8,0)),"---")</f>
        <v>0</v>
      </c>
      <c r="G415" s="390"/>
      <c r="H415" s="390"/>
      <c r="K415" s="356"/>
    </row>
    <row r="416" spans="1:11" hidden="1" x14ac:dyDescent="0.25">
      <c r="A416" s="387" t="s">
        <v>437</v>
      </c>
      <c r="B416" s="389">
        <f>Работы!B490</f>
        <v>0</v>
      </c>
      <c r="C416" s="389">
        <f>Работы!C490</f>
        <v>0</v>
      </c>
      <c r="D416" s="388"/>
      <c r="E416" s="388"/>
      <c r="F416" s="376">
        <f>IFERROR(INDEX(Работы!$1:$1048576,MATCH($C416,Работы!$C:$C,0),MATCH($F$14,Работы!$8:$8,0)),"---")</f>
        <v>0</v>
      </c>
      <c r="G416" s="390"/>
      <c r="H416" s="390"/>
      <c r="K416" s="356"/>
    </row>
    <row r="417" spans="1:11" hidden="1" x14ac:dyDescent="0.25">
      <c r="A417" s="387" t="s">
        <v>437</v>
      </c>
      <c r="B417" s="389">
        <f>Работы!B491</f>
        <v>0</v>
      </c>
      <c r="C417" s="389">
        <f>Работы!C491</f>
        <v>0</v>
      </c>
      <c r="D417" s="388"/>
      <c r="E417" s="388"/>
      <c r="F417" s="376">
        <f>IFERROR(INDEX(Работы!$1:$1048576,MATCH($C417,Работы!$C:$C,0),MATCH($F$14,Работы!$8:$8,0)),"---")</f>
        <v>0</v>
      </c>
      <c r="G417" s="390"/>
      <c r="H417" s="390"/>
      <c r="K417" s="356"/>
    </row>
    <row r="418" spans="1:11" hidden="1" x14ac:dyDescent="0.25">
      <c r="A418" s="387" t="s">
        <v>437</v>
      </c>
      <c r="B418" s="389">
        <f>Работы!B492</f>
        <v>0</v>
      </c>
      <c r="C418" s="389">
        <f>Работы!C492</f>
        <v>0</v>
      </c>
      <c r="D418" s="388"/>
      <c r="E418" s="388"/>
      <c r="F418" s="376">
        <f>IFERROR(INDEX(Работы!$1:$1048576,MATCH($C418,Работы!$C:$C,0),MATCH($F$14,Работы!$8:$8,0)),"---")</f>
        <v>0</v>
      </c>
      <c r="G418" s="390"/>
      <c r="H418" s="390"/>
      <c r="K418" s="356"/>
    </row>
    <row r="419" spans="1:11" hidden="1" x14ac:dyDescent="0.25">
      <c r="A419" s="387" t="s">
        <v>437</v>
      </c>
      <c r="B419" s="389">
        <f>Работы!B493</f>
        <v>0</v>
      </c>
      <c r="C419" s="389">
        <f>Работы!C493</f>
        <v>0</v>
      </c>
      <c r="D419" s="388"/>
      <c r="E419" s="388"/>
      <c r="F419" s="376">
        <f>IFERROR(INDEX(Работы!$1:$1048576,MATCH($C419,Работы!$C:$C,0),MATCH($F$14,Работы!$8:$8,0)),"---")</f>
        <v>0</v>
      </c>
      <c r="G419" s="390"/>
      <c r="H419" s="390"/>
      <c r="K419" s="356"/>
    </row>
    <row r="420" spans="1:11" hidden="1" x14ac:dyDescent="0.25">
      <c r="A420" s="387" t="s">
        <v>437</v>
      </c>
      <c r="B420" s="389">
        <f>Работы!B494</f>
        <v>0</v>
      </c>
      <c r="C420" s="389">
        <f>Работы!C494</f>
        <v>0</v>
      </c>
      <c r="D420" s="388"/>
      <c r="E420" s="388"/>
      <c r="F420" s="376">
        <f>IFERROR(INDEX(Работы!$1:$1048576,MATCH($C420,Работы!$C:$C,0),MATCH($F$14,Работы!$8:$8,0)),"---")</f>
        <v>0</v>
      </c>
      <c r="G420" s="390"/>
      <c r="H420" s="390"/>
      <c r="K420" s="356"/>
    </row>
    <row r="421" spans="1:11" hidden="1" x14ac:dyDescent="0.25">
      <c r="A421" s="387" t="s">
        <v>437</v>
      </c>
      <c r="B421" s="389">
        <f>Работы!B495</f>
        <v>0</v>
      </c>
      <c r="C421" s="389">
        <f>Работы!C495</f>
        <v>0</v>
      </c>
      <c r="D421" s="388"/>
      <c r="E421" s="388"/>
      <c r="F421" s="376">
        <f>IFERROR(INDEX(Работы!$1:$1048576,MATCH($C421,Работы!$C:$C,0),MATCH($F$14,Работы!$8:$8,0)),"---")</f>
        <v>0</v>
      </c>
      <c r="G421" s="390"/>
      <c r="H421" s="390"/>
      <c r="K421" s="356"/>
    </row>
    <row r="422" spans="1:11" hidden="1" x14ac:dyDescent="0.25">
      <c r="A422" s="387" t="s">
        <v>437</v>
      </c>
      <c r="B422" s="389">
        <f>Работы!B496</f>
        <v>0</v>
      </c>
      <c r="C422" s="389">
        <f>Работы!C496</f>
        <v>0</v>
      </c>
      <c r="D422" s="388"/>
      <c r="E422" s="388"/>
      <c r="F422" s="376">
        <f>IFERROR(INDEX(Работы!$1:$1048576,MATCH($C422,Работы!$C:$C,0),MATCH($F$14,Работы!$8:$8,0)),"---")</f>
        <v>0</v>
      </c>
      <c r="G422" s="390"/>
      <c r="H422" s="390"/>
      <c r="K422" s="356"/>
    </row>
    <row r="423" spans="1:11" hidden="1" x14ac:dyDescent="0.25">
      <c r="A423" s="387" t="s">
        <v>437</v>
      </c>
      <c r="B423" s="389">
        <f>Работы!B497</f>
        <v>0</v>
      </c>
      <c r="C423" s="389">
        <f>Работы!C497</f>
        <v>0</v>
      </c>
      <c r="D423" s="388"/>
      <c r="E423" s="388"/>
      <c r="F423" s="376">
        <f>IFERROR(INDEX(Работы!$1:$1048576,MATCH($C423,Работы!$C:$C,0),MATCH($F$14,Работы!$8:$8,0)),"---")</f>
        <v>0</v>
      </c>
      <c r="G423" s="390"/>
      <c r="H423" s="390"/>
      <c r="K423" s="356"/>
    </row>
    <row r="424" spans="1:11" hidden="1" x14ac:dyDescent="0.25">
      <c r="A424" s="387" t="s">
        <v>437</v>
      </c>
      <c r="B424" s="389">
        <f>Работы!B498</f>
        <v>0</v>
      </c>
      <c r="C424" s="389">
        <f>Работы!C498</f>
        <v>0</v>
      </c>
      <c r="D424" s="388"/>
      <c r="E424" s="388"/>
      <c r="F424" s="376">
        <f>IFERROR(INDEX(Работы!$1:$1048576,MATCH($C424,Работы!$C:$C,0),MATCH($F$14,Работы!$8:$8,0)),"---")</f>
        <v>0</v>
      </c>
      <c r="G424" s="390"/>
      <c r="H424" s="390"/>
      <c r="K424" s="356"/>
    </row>
    <row r="425" spans="1:11" hidden="1" x14ac:dyDescent="0.25">
      <c r="A425" s="387" t="s">
        <v>437</v>
      </c>
      <c r="B425" s="389">
        <f>Работы!B499</f>
        <v>0</v>
      </c>
      <c r="C425" s="389">
        <f>Работы!C499</f>
        <v>0</v>
      </c>
      <c r="D425" s="388"/>
      <c r="E425" s="388"/>
      <c r="F425" s="376">
        <f>IFERROR(INDEX(Работы!$1:$1048576,MATCH($C425,Работы!$C:$C,0),MATCH($F$14,Работы!$8:$8,0)),"---")</f>
        <v>0</v>
      </c>
      <c r="G425" s="390"/>
      <c r="H425" s="390"/>
      <c r="K425" s="356"/>
    </row>
    <row r="426" spans="1:11" hidden="1" x14ac:dyDescent="0.25">
      <c r="A426" s="387" t="s">
        <v>437</v>
      </c>
      <c r="B426" s="389">
        <f>Работы!B500</f>
        <v>0</v>
      </c>
      <c r="C426" s="389">
        <f>Работы!C500</f>
        <v>0</v>
      </c>
      <c r="D426" s="388"/>
      <c r="E426" s="388"/>
      <c r="F426" s="376">
        <f>IFERROR(INDEX(Работы!$1:$1048576,MATCH($C426,Работы!$C:$C,0),MATCH($F$14,Работы!$8:$8,0)),"---")</f>
        <v>0</v>
      </c>
      <c r="G426" s="390"/>
      <c r="H426" s="390"/>
      <c r="K426" s="356"/>
    </row>
    <row r="427" spans="1:11" hidden="1" x14ac:dyDescent="0.25">
      <c r="A427" s="387" t="s">
        <v>437</v>
      </c>
      <c r="B427" s="389">
        <f>Работы!B501</f>
        <v>0</v>
      </c>
      <c r="C427" s="389">
        <f>Работы!C501</f>
        <v>0</v>
      </c>
      <c r="D427" s="388"/>
      <c r="E427" s="388"/>
      <c r="F427" s="376">
        <f>IFERROR(INDEX(Работы!$1:$1048576,MATCH($C427,Работы!$C:$C,0),MATCH($F$14,Работы!$8:$8,0)),"---")</f>
        <v>0</v>
      </c>
      <c r="G427" s="390"/>
      <c r="H427" s="390"/>
      <c r="K427" s="356"/>
    </row>
    <row r="428" spans="1:11" hidden="1" x14ac:dyDescent="0.25">
      <c r="A428" s="387" t="s">
        <v>437</v>
      </c>
      <c r="B428" s="389">
        <f>Работы!B502</f>
        <v>0</v>
      </c>
      <c r="C428" s="389">
        <f>Работы!C502</f>
        <v>0</v>
      </c>
      <c r="D428" s="388"/>
      <c r="E428" s="388"/>
      <c r="F428" s="376">
        <f>IFERROR(INDEX(Работы!$1:$1048576,MATCH($C428,Работы!$C:$C,0),MATCH($F$14,Работы!$8:$8,0)),"---")</f>
        <v>0</v>
      </c>
      <c r="G428" s="390"/>
      <c r="H428" s="390"/>
      <c r="K428" s="356"/>
    </row>
    <row r="429" spans="1:11" hidden="1" x14ac:dyDescent="0.25">
      <c r="A429" s="387" t="s">
        <v>437</v>
      </c>
      <c r="B429" s="389">
        <f>Работы!B503</f>
        <v>0</v>
      </c>
      <c r="C429" s="389">
        <f>Работы!C503</f>
        <v>0</v>
      </c>
      <c r="D429" s="388"/>
      <c r="E429" s="388"/>
      <c r="F429" s="376">
        <f>IFERROR(INDEX(Работы!$1:$1048576,MATCH($C429,Работы!$C:$C,0),MATCH($F$14,Работы!$8:$8,0)),"---")</f>
        <v>0</v>
      </c>
      <c r="G429" s="390"/>
      <c r="H429" s="390"/>
      <c r="K429" s="356"/>
    </row>
    <row r="430" spans="1:11" hidden="1" x14ac:dyDescent="0.25">
      <c r="A430" s="387" t="s">
        <v>437</v>
      </c>
      <c r="B430" s="389">
        <f>Работы!B504</f>
        <v>0</v>
      </c>
      <c r="C430" s="389">
        <f>Работы!C504</f>
        <v>0</v>
      </c>
      <c r="D430" s="388"/>
      <c r="E430" s="388"/>
      <c r="F430" s="376">
        <f>IFERROR(INDEX(Работы!$1:$1048576,MATCH($C430,Работы!$C:$C,0),MATCH($F$14,Работы!$8:$8,0)),"---")</f>
        <v>0</v>
      </c>
      <c r="G430" s="390"/>
      <c r="H430" s="390"/>
      <c r="K430" s="356"/>
    </row>
    <row r="431" spans="1:11" hidden="1" x14ac:dyDescent="0.25">
      <c r="A431" s="387" t="s">
        <v>437</v>
      </c>
      <c r="B431" s="389">
        <f>Работы!B505</f>
        <v>0</v>
      </c>
      <c r="C431" s="389">
        <f>Работы!C505</f>
        <v>0</v>
      </c>
      <c r="D431" s="388"/>
      <c r="E431" s="388"/>
      <c r="F431" s="376">
        <f>IFERROR(INDEX(Работы!$1:$1048576,MATCH($C431,Работы!$C:$C,0),MATCH($F$14,Работы!$8:$8,0)),"---")</f>
        <v>0</v>
      </c>
      <c r="G431" s="390"/>
      <c r="H431" s="390"/>
      <c r="K431" s="356"/>
    </row>
    <row r="432" spans="1:11" hidden="1" x14ac:dyDescent="0.25">
      <c r="A432" s="387" t="s">
        <v>437</v>
      </c>
      <c r="B432" s="389">
        <f>Работы!B506</f>
        <v>0</v>
      </c>
      <c r="C432" s="389">
        <f>Работы!C506</f>
        <v>0</v>
      </c>
      <c r="D432" s="388"/>
      <c r="E432" s="388"/>
      <c r="F432" s="376">
        <f>IFERROR(INDEX(Работы!$1:$1048576,MATCH($C432,Работы!$C:$C,0),MATCH($F$14,Работы!$8:$8,0)),"---")</f>
        <v>0</v>
      </c>
      <c r="G432" s="390"/>
      <c r="H432" s="390"/>
      <c r="K432" s="356"/>
    </row>
    <row r="433" spans="1:11" hidden="1" x14ac:dyDescent="0.25">
      <c r="A433" s="387" t="s">
        <v>437</v>
      </c>
      <c r="B433" s="389">
        <f>Работы!B507</f>
        <v>0</v>
      </c>
      <c r="C433" s="389">
        <f>Работы!C507</f>
        <v>0</v>
      </c>
      <c r="D433" s="388"/>
      <c r="E433" s="388"/>
      <c r="F433" s="376">
        <f>IFERROR(INDEX(Работы!$1:$1048576,MATCH($C433,Работы!$C:$C,0),MATCH($F$14,Работы!$8:$8,0)),"---")</f>
        <v>0</v>
      </c>
      <c r="G433" s="390"/>
      <c r="H433" s="390"/>
      <c r="K433" s="356"/>
    </row>
    <row r="434" spans="1:11" hidden="1" x14ac:dyDescent="0.25">
      <c r="A434" s="387" t="s">
        <v>437</v>
      </c>
      <c r="B434" s="389">
        <f>Работы!B508</f>
        <v>0</v>
      </c>
      <c r="C434" s="389">
        <f>Работы!C508</f>
        <v>0</v>
      </c>
      <c r="D434" s="388"/>
      <c r="E434" s="388"/>
      <c r="F434" s="376">
        <f>IFERROR(INDEX(Работы!$1:$1048576,MATCH($C434,Работы!$C:$C,0),MATCH($F$14,Работы!$8:$8,0)),"---")</f>
        <v>0</v>
      </c>
      <c r="G434" s="390"/>
      <c r="H434" s="390"/>
      <c r="K434" s="356"/>
    </row>
    <row r="435" spans="1:11" hidden="1" x14ac:dyDescent="0.25">
      <c r="A435" s="387" t="s">
        <v>437</v>
      </c>
      <c r="B435" s="389">
        <f>Работы!B509</f>
        <v>0</v>
      </c>
      <c r="C435" s="389">
        <f>Работы!C509</f>
        <v>0</v>
      </c>
      <c r="D435" s="388"/>
      <c r="E435" s="388"/>
      <c r="F435" s="376">
        <f>IFERROR(INDEX(Работы!$1:$1048576,MATCH($C435,Работы!$C:$C,0),MATCH($F$14,Работы!$8:$8,0)),"---")</f>
        <v>0</v>
      </c>
      <c r="G435" s="390"/>
      <c r="H435" s="390"/>
      <c r="K435" s="356"/>
    </row>
    <row r="436" spans="1:11" hidden="1" x14ac:dyDescent="0.25">
      <c r="A436" s="387" t="s">
        <v>437</v>
      </c>
      <c r="B436" s="389">
        <f>Работы!B510</f>
        <v>0</v>
      </c>
      <c r="C436" s="389">
        <f>Работы!C510</f>
        <v>0</v>
      </c>
      <c r="D436" s="388"/>
      <c r="E436" s="388"/>
      <c r="F436" s="376">
        <f>IFERROR(INDEX(Работы!$1:$1048576,MATCH($C436,Работы!$C:$C,0),MATCH($F$14,Работы!$8:$8,0)),"---")</f>
        <v>0</v>
      </c>
      <c r="G436" s="390"/>
      <c r="H436" s="390"/>
      <c r="K436" s="356"/>
    </row>
    <row r="437" spans="1:11" hidden="1" x14ac:dyDescent="0.25">
      <c r="A437" s="387" t="s">
        <v>437</v>
      </c>
      <c r="B437" s="389">
        <f>Работы!B511</f>
        <v>0</v>
      </c>
      <c r="C437" s="389">
        <f>Работы!C511</f>
        <v>0</v>
      </c>
      <c r="D437" s="388"/>
      <c r="E437" s="388"/>
      <c r="F437" s="376">
        <f>IFERROR(INDEX(Работы!$1:$1048576,MATCH($C437,Работы!$C:$C,0),MATCH($F$14,Работы!$8:$8,0)),"---")</f>
        <v>0</v>
      </c>
      <c r="G437" s="390"/>
      <c r="H437" s="390"/>
      <c r="K437" s="356"/>
    </row>
    <row r="438" spans="1:11" hidden="1" x14ac:dyDescent="0.25">
      <c r="A438" s="387" t="s">
        <v>437</v>
      </c>
      <c r="B438" s="389">
        <f>Работы!B512</f>
        <v>0</v>
      </c>
      <c r="C438" s="389">
        <f>Работы!C512</f>
        <v>0</v>
      </c>
      <c r="D438" s="388"/>
      <c r="E438" s="388"/>
      <c r="F438" s="376">
        <f>IFERROR(INDEX(Работы!$1:$1048576,MATCH($C438,Работы!$C:$C,0),MATCH($F$14,Работы!$8:$8,0)),"---")</f>
        <v>0</v>
      </c>
      <c r="G438" s="390"/>
      <c r="H438" s="390"/>
      <c r="K438" s="356"/>
    </row>
    <row r="439" spans="1:11" hidden="1" x14ac:dyDescent="0.25">
      <c r="A439" s="387" t="s">
        <v>437</v>
      </c>
      <c r="B439" s="389">
        <f>Работы!B513</f>
        <v>0</v>
      </c>
      <c r="C439" s="389">
        <f>Работы!C513</f>
        <v>0</v>
      </c>
      <c r="D439" s="388"/>
      <c r="E439" s="388"/>
      <c r="F439" s="376">
        <f>IFERROR(INDEX(Работы!$1:$1048576,MATCH($C439,Работы!$C:$C,0),MATCH($F$14,Работы!$8:$8,0)),"---")</f>
        <v>0</v>
      </c>
      <c r="G439" s="390"/>
      <c r="H439" s="390"/>
      <c r="K439" s="356"/>
    </row>
    <row r="440" spans="1:11" hidden="1" x14ac:dyDescent="0.25">
      <c r="A440" s="387" t="s">
        <v>437</v>
      </c>
      <c r="B440" s="389">
        <f>Работы!B514</f>
        <v>0</v>
      </c>
      <c r="C440" s="389">
        <f>Работы!C514</f>
        <v>0</v>
      </c>
      <c r="D440" s="388"/>
      <c r="E440" s="388"/>
      <c r="F440" s="376">
        <f>IFERROR(INDEX(Работы!$1:$1048576,MATCH($C440,Работы!$C:$C,0),MATCH($F$14,Работы!$8:$8,0)),"---")</f>
        <v>0</v>
      </c>
      <c r="G440" s="390"/>
      <c r="H440" s="390"/>
      <c r="K440" s="356"/>
    </row>
    <row r="441" spans="1:11" hidden="1" x14ac:dyDescent="0.25">
      <c r="A441" s="387" t="s">
        <v>437</v>
      </c>
      <c r="B441" s="389">
        <f>Работы!B515</f>
        <v>0</v>
      </c>
      <c r="C441" s="389">
        <f>Работы!C515</f>
        <v>0</v>
      </c>
      <c r="D441" s="388"/>
      <c r="E441" s="388"/>
      <c r="F441" s="376">
        <f>IFERROR(INDEX(Работы!$1:$1048576,MATCH($C441,Работы!$C:$C,0),MATCH($F$14,Работы!$8:$8,0)),"---")</f>
        <v>0</v>
      </c>
      <c r="G441" s="390"/>
      <c r="H441" s="390"/>
      <c r="K441" s="356"/>
    </row>
    <row r="442" spans="1:11" hidden="1" x14ac:dyDescent="0.25">
      <c r="A442" s="387" t="s">
        <v>437</v>
      </c>
      <c r="B442" s="389">
        <f>Работы!B516</f>
        <v>0</v>
      </c>
      <c r="C442" s="389">
        <f>Работы!C516</f>
        <v>0</v>
      </c>
      <c r="D442" s="388"/>
      <c r="E442" s="388"/>
      <c r="F442" s="376">
        <f>IFERROR(INDEX(Работы!$1:$1048576,MATCH($C442,Работы!$C:$C,0),MATCH($F$14,Работы!$8:$8,0)),"---")</f>
        <v>0</v>
      </c>
      <c r="G442" s="390"/>
      <c r="H442" s="390"/>
      <c r="K442" s="356"/>
    </row>
    <row r="443" spans="1:11" hidden="1" x14ac:dyDescent="0.25">
      <c r="A443" s="387" t="s">
        <v>437</v>
      </c>
      <c r="B443" s="389">
        <f>Работы!B517</f>
        <v>0</v>
      </c>
      <c r="C443" s="389">
        <f>Работы!C517</f>
        <v>0</v>
      </c>
      <c r="D443" s="388"/>
      <c r="E443" s="388"/>
      <c r="F443" s="376">
        <f>IFERROR(INDEX(Работы!$1:$1048576,MATCH($C443,Работы!$C:$C,0),MATCH($F$14,Работы!$8:$8,0)),"---")</f>
        <v>0</v>
      </c>
      <c r="G443" s="390"/>
      <c r="H443" s="390"/>
      <c r="K443" s="356"/>
    </row>
    <row r="444" spans="1:11" hidden="1" x14ac:dyDescent="0.25">
      <c r="A444" s="387" t="s">
        <v>437</v>
      </c>
      <c r="B444" s="389">
        <f>Работы!B518</f>
        <v>0</v>
      </c>
      <c r="C444" s="389">
        <f>Работы!C518</f>
        <v>0</v>
      </c>
      <c r="D444" s="388"/>
      <c r="E444" s="388"/>
      <c r="F444" s="376">
        <f>IFERROR(INDEX(Работы!$1:$1048576,MATCH($C444,Работы!$C:$C,0),MATCH($F$14,Работы!$8:$8,0)),"---")</f>
        <v>0</v>
      </c>
      <c r="G444" s="390"/>
      <c r="H444" s="390"/>
      <c r="K444" s="356"/>
    </row>
    <row r="445" spans="1:11" hidden="1" x14ac:dyDescent="0.25">
      <c r="A445" s="387" t="s">
        <v>437</v>
      </c>
      <c r="B445" s="389">
        <f>Работы!B519</f>
        <v>0</v>
      </c>
      <c r="C445" s="389">
        <f>Работы!C519</f>
        <v>0</v>
      </c>
      <c r="D445" s="388"/>
      <c r="E445" s="388"/>
      <c r="F445" s="376">
        <f>IFERROR(INDEX(Работы!$1:$1048576,MATCH($C445,Работы!$C:$C,0),MATCH($F$14,Работы!$8:$8,0)),"---")</f>
        <v>0</v>
      </c>
      <c r="G445" s="390"/>
      <c r="H445" s="390"/>
      <c r="K445" s="356"/>
    </row>
    <row r="446" spans="1:11" hidden="1" x14ac:dyDescent="0.25">
      <c r="A446" s="387" t="s">
        <v>437</v>
      </c>
      <c r="B446" s="389">
        <f>Работы!B520</f>
        <v>0</v>
      </c>
      <c r="C446" s="389">
        <f>Работы!C520</f>
        <v>0</v>
      </c>
      <c r="D446" s="388"/>
      <c r="E446" s="388"/>
      <c r="F446" s="376">
        <f>IFERROR(INDEX(Работы!$1:$1048576,MATCH($C446,Работы!$C:$C,0),MATCH($F$14,Работы!$8:$8,0)),"---")</f>
        <v>0</v>
      </c>
      <c r="G446" s="390"/>
      <c r="H446" s="390"/>
      <c r="K446" s="356"/>
    </row>
    <row r="447" spans="1:11" hidden="1" x14ac:dyDescent="0.25">
      <c r="A447" s="387" t="s">
        <v>437</v>
      </c>
      <c r="B447" s="389">
        <f>Работы!B521</f>
        <v>0</v>
      </c>
      <c r="C447" s="389">
        <f>Работы!C521</f>
        <v>0</v>
      </c>
      <c r="D447" s="388"/>
      <c r="E447" s="388"/>
      <c r="F447" s="376">
        <f>IFERROR(INDEX(Работы!$1:$1048576,MATCH($C447,Работы!$C:$C,0),MATCH($F$14,Работы!$8:$8,0)),"---")</f>
        <v>0</v>
      </c>
      <c r="G447" s="390"/>
      <c r="H447" s="390"/>
      <c r="K447" s="356"/>
    </row>
    <row r="448" spans="1:11" hidden="1" x14ac:dyDescent="0.25">
      <c r="A448" s="387" t="s">
        <v>437</v>
      </c>
      <c r="B448" s="389">
        <f>Работы!B522</f>
        <v>0</v>
      </c>
      <c r="C448" s="389">
        <f>Работы!C522</f>
        <v>0</v>
      </c>
      <c r="D448" s="388"/>
      <c r="E448" s="388"/>
      <c r="F448" s="376">
        <f>IFERROR(INDEX(Работы!$1:$1048576,MATCH($C448,Работы!$C:$C,0),MATCH($F$14,Работы!$8:$8,0)),"---")</f>
        <v>0</v>
      </c>
      <c r="G448" s="390"/>
      <c r="H448" s="390"/>
      <c r="K448" s="356"/>
    </row>
    <row r="449" spans="1:14" hidden="1" x14ac:dyDescent="0.25">
      <c r="A449" s="387" t="s">
        <v>437</v>
      </c>
      <c r="B449" s="389">
        <f>Работы!B523</f>
        <v>0</v>
      </c>
      <c r="C449" s="389">
        <f>Работы!C523</f>
        <v>0</v>
      </c>
      <c r="D449" s="388"/>
      <c r="E449" s="388"/>
      <c r="F449" s="376">
        <f>IFERROR(INDEX(Работы!$1:$1048576,MATCH($C449,Работы!$C:$C,0),MATCH($F$14,Работы!$8:$8,0)),"---")</f>
        <v>0</v>
      </c>
      <c r="G449" s="390"/>
      <c r="H449" s="390"/>
      <c r="K449" s="356"/>
    </row>
    <row r="450" spans="1:14" hidden="1" x14ac:dyDescent="0.25">
      <c r="A450" s="387" t="s">
        <v>437</v>
      </c>
      <c r="B450" s="389">
        <f>Работы!B524</f>
        <v>0</v>
      </c>
      <c r="C450" s="389">
        <f>Работы!C524</f>
        <v>0</v>
      </c>
      <c r="D450" s="388"/>
      <c r="E450" s="388"/>
      <c r="F450" s="376">
        <f>IFERROR(INDEX(Работы!$1:$1048576,MATCH($C450,Работы!$C:$C,0),MATCH($F$14,Работы!$8:$8,0)),"---")</f>
        <v>0</v>
      </c>
      <c r="G450" s="390"/>
      <c r="H450" s="390"/>
      <c r="K450" s="356"/>
    </row>
    <row r="451" spans="1:14" hidden="1" x14ac:dyDescent="0.25">
      <c r="A451" s="387" t="s">
        <v>437</v>
      </c>
      <c r="B451" s="389">
        <f>Работы!B525</f>
        <v>0</v>
      </c>
      <c r="C451" s="389">
        <f>Работы!C525</f>
        <v>0</v>
      </c>
      <c r="D451" s="388"/>
      <c r="E451" s="388"/>
      <c r="F451" s="376">
        <f>IFERROR(INDEX(Работы!$1:$1048576,MATCH($C451,Работы!$C:$C,0),MATCH($F$14,Работы!$8:$8,0)),"---")</f>
        <v>0</v>
      </c>
      <c r="G451" s="390"/>
      <c r="H451" s="390"/>
      <c r="K451" s="356"/>
    </row>
    <row r="452" spans="1:14" hidden="1" x14ac:dyDescent="0.25">
      <c r="A452" s="387" t="s">
        <v>437</v>
      </c>
      <c r="B452" s="389">
        <f>Работы!B526</f>
        <v>0</v>
      </c>
      <c r="C452" s="389">
        <f>Работы!C526</f>
        <v>0</v>
      </c>
      <c r="D452" s="388"/>
      <c r="E452" s="388"/>
      <c r="F452" s="376">
        <f>IFERROR(INDEX(Работы!$1:$1048576,MATCH($C452,Работы!$C:$C,0),MATCH($F$14,Работы!$8:$8,0)),"---")</f>
        <v>0</v>
      </c>
      <c r="G452" s="390"/>
      <c r="H452" s="390"/>
      <c r="K452" s="356"/>
    </row>
    <row r="453" spans="1:14" hidden="1" x14ac:dyDescent="0.25">
      <c r="A453" s="387" t="s">
        <v>437</v>
      </c>
      <c r="B453" s="389">
        <f>Работы!B527</f>
        <v>0</v>
      </c>
      <c r="C453" s="389">
        <f>Работы!C527</f>
        <v>0</v>
      </c>
      <c r="D453" s="388"/>
      <c r="E453" s="388"/>
      <c r="F453" s="376">
        <f>IFERROR(INDEX(Работы!$1:$1048576,MATCH($C453,Работы!$C:$C,0),MATCH($F$14,Работы!$8:$8,0)),"---")</f>
        <v>0</v>
      </c>
      <c r="G453" s="390"/>
      <c r="H453" s="390"/>
      <c r="K453" s="356"/>
    </row>
    <row r="454" spans="1:14" hidden="1" x14ac:dyDescent="0.25">
      <c r="A454" s="387" t="s">
        <v>437</v>
      </c>
      <c r="B454" s="389">
        <f>Работы!B528</f>
        <v>0</v>
      </c>
      <c r="C454" s="389">
        <f>Работы!C528</f>
        <v>0</v>
      </c>
      <c r="D454" s="388"/>
      <c r="E454" s="388"/>
      <c r="F454" s="376">
        <f>IFERROR(INDEX(Работы!$1:$1048576,MATCH($C454,Работы!$C:$C,0),MATCH($F$14,Работы!$8:$8,0)),"---")</f>
        <v>0</v>
      </c>
      <c r="G454" s="390"/>
      <c r="H454" s="390"/>
      <c r="K454" s="356"/>
    </row>
    <row r="455" spans="1:14" hidden="1" x14ac:dyDescent="0.25">
      <c r="A455" s="387" t="s">
        <v>437</v>
      </c>
      <c r="B455" s="389">
        <f>Работы!B529</f>
        <v>0</v>
      </c>
      <c r="C455" s="389">
        <f>Работы!C529</f>
        <v>0</v>
      </c>
      <c r="D455" s="388"/>
      <c r="E455" s="388"/>
      <c r="F455" s="376">
        <f>IFERROR(INDEX(Работы!$1:$1048576,MATCH($C455,Работы!$C:$C,0),MATCH($F$14,Работы!$8:$8,0)),"---")</f>
        <v>0</v>
      </c>
      <c r="G455" s="390"/>
      <c r="H455" s="390"/>
      <c r="K455" s="356"/>
    </row>
    <row r="456" spans="1:14" hidden="1" x14ac:dyDescent="0.25">
      <c r="A456" s="387" t="s">
        <v>437</v>
      </c>
      <c r="B456" s="389">
        <f>Работы!B530</f>
        <v>0</v>
      </c>
      <c r="C456" s="389">
        <f>Работы!C530</f>
        <v>0</v>
      </c>
      <c r="D456" s="388"/>
      <c r="E456" s="388"/>
      <c r="F456" s="376">
        <f>IFERROR(INDEX(Работы!$1:$1048576,MATCH($C456,Работы!$C:$C,0),MATCH($F$14,Работы!$8:$8,0)),"---")</f>
        <v>0</v>
      </c>
      <c r="G456" s="390"/>
      <c r="H456" s="390"/>
      <c r="K456" s="356"/>
    </row>
    <row r="457" spans="1:14" hidden="1" x14ac:dyDescent="0.25">
      <c r="A457" s="387" t="s">
        <v>437</v>
      </c>
      <c r="B457" s="389">
        <f>Работы!B531</f>
        <v>0</v>
      </c>
      <c r="C457" s="389">
        <f>Работы!C531</f>
        <v>0</v>
      </c>
      <c r="D457" s="388"/>
      <c r="E457" s="388"/>
      <c r="F457" s="376">
        <f>IFERROR(INDEX(Работы!$1:$1048576,MATCH($C457,Работы!$C:$C,0),MATCH($F$14,Работы!$8:$8,0)),"---")</f>
        <v>0</v>
      </c>
      <c r="G457" s="390"/>
      <c r="H457" s="390"/>
      <c r="K457" s="356"/>
    </row>
    <row r="458" spans="1:14" hidden="1" x14ac:dyDescent="0.25">
      <c r="A458" s="387" t="s">
        <v>437</v>
      </c>
      <c r="B458" s="389">
        <f>Работы!B532</f>
        <v>0</v>
      </c>
      <c r="C458" s="389">
        <f>Работы!C532</f>
        <v>0</v>
      </c>
      <c r="D458" s="388"/>
      <c r="E458" s="388"/>
      <c r="F458" s="376">
        <f>IFERROR(INDEX(Работы!$1:$1048576,MATCH($C458,Работы!$C:$C,0),MATCH($F$14,Работы!$8:$8,0)),"---")</f>
        <v>0</v>
      </c>
      <c r="G458" s="390"/>
      <c r="H458" s="390"/>
      <c r="K458" s="356"/>
    </row>
    <row r="459" spans="1:14" hidden="1" x14ac:dyDescent="0.25">
      <c r="A459" s="387" t="s">
        <v>437</v>
      </c>
      <c r="B459" s="389">
        <f>Работы!B533</f>
        <v>0</v>
      </c>
      <c r="C459" s="389">
        <f>Работы!C533</f>
        <v>0</v>
      </c>
      <c r="D459" s="388"/>
      <c r="E459" s="388"/>
      <c r="F459" s="376">
        <f>IFERROR(INDEX(Работы!$1:$1048576,MATCH($C459,Работы!$C:$C,0),MATCH($F$14,Работы!$8:$8,0)),"---")</f>
        <v>0</v>
      </c>
      <c r="G459" s="390"/>
      <c r="H459" s="390"/>
      <c r="K459" s="356"/>
    </row>
    <row r="460" spans="1:14" hidden="1" x14ac:dyDescent="0.25">
      <c r="A460" s="387" t="s">
        <v>437</v>
      </c>
      <c r="B460" s="389">
        <f>Работы!B534</f>
        <v>0</v>
      </c>
      <c r="C460" s="389">
        <f>Работы!C534</f>
        <v>0</v>
      </c>
      <c r="D460" s="388"/>
      <c r="E460" s="388"/>
      <c r="F460" s="376">
        <f>IFERROR(INDEX(Работы!$1:$1048576,MATCH($C460,Работы!$C:$C,0),MATCH($F$14,Работы!$8:$8,0)),"---")</f>
        <v>0</v>
      </c>
      <c r="G460" s="390"/>
      <c r="H460" s="390"/>
      <c r="K460" s="356"/>
    </row>
    <row r="461" spans="1:14" s="143" customFormat="1" hidden="1" x14ac:dyDescent="0.25">
      <c r="A461" s="148" t="s">
        <v>437</v>
      </c>
      <c r="B461" s="145">
        <f>Работы!B535</f>
        <v>0</v>
      </c>
      <c r="C461" s="145">
        <f>Работы!C535</f>
        <v>0</v>
      </c>
      <c r="D461" s="146"/>
      <c r="E461" s="146"/>
      <c r="F461" s="144">
        <f>IFERROR(INDEX(Работы!$1:$1048576,MATCH($C461,Работы!$C:$C,0),MATCH($F$14,Работы!$8:$8,0)),"---")</f>
        <v>0</v>
      </c>
      <c r="G461" s="147"/>
      <c r="H461" s="147"/>
    </row>
    <row r="462" spans="1:14" s="143" customFormat="1" x14ac:dyDescent="0.25">
      <c r="A462" s="148" t="s">
        <v>437</v>
      </c>
      <c r="B462" s="145">
        <f>Работы!B536</f>
        <v>0</v>
      </c>
      <c r="C462" s="145">
        <f>Работы!C536</f>
        <v>0</v>
      </c>
      <c r="D462" s="146"/>
      <c r="E462" s="146"/>
      <c r="F462" s="144">
        <f>IFERROR(INDEX(Работы!$1:$1048576,MATCH($C462,Работы!$C:$C,0),MATCH($F$14,Работы!$8:$8,0)),"---")</f>
        <v>0</v>
      </c>
      <c r="G462" s="147"/>
      <c r="H462" s="147"/>
    </row>
    <row r="463" spans="1:14" s="143" customFormat="1" x14ac:dyDescent="0.25">
      <c r="A463" s="11"/>
      <c r="B463" s="540"/>
      <c r="C463" s="541" t="s">
        <v>438</v>
      </c>
      <c r="D463" s="541" t="s">
        <v>438</v>
      </c>
      <c r="E463" s="149"/>
      <c r="F463" s="149"/>
      <c r="G463" s="149"/>
      <c r="H463" s="149"/>
      <c r="I463" s="548"/>
      <c r="J463" s="542" t="s">
        <v>232</v>
      </c>
      <c r="N463" s="542"/>
    </row>
    <row r="464" spans="1:14" x14ac:dyDescent="0.25">
      <c r="A464" s="394" t="s">
        <v>17</v>
      </c>
      <c r="B464" s="389" t="e">
        <f>INDEX(Работы!$B$65:$B$374,MATCH(C464,Работы!$C$65:$C$374,0),1)</f>
        <v>#N/A</v>
      </c>
      <c r="C464" s="150"/>
      <c r="D464" s="150"/>
      <c r="E464" s="388" t="str">
        <f>IFERROR(VLOOKUP($D464,'Состав ВТК'!$B$9:$I$108,8,FALSE),"-")</f>
        <v>-</v>
      </c>
      <c r="F464" s="376" t="str">
        <f>IFERROR(INDEX(Работы!$D$65:$D$374,MATCH(C464,Работы!$C$65:$C$374,0),1),"-")</f>
        <v>-</v>
      </c>
      <c r="G464" s="390"/>
      <c r="H464" s="390"/>
      <c r="J464" s="322" t="s">
        <v>266</v>
      </c>
      <c r="K464" s="328" t="s">
        <v>267</v>
      </c>
    </row>
    <row r="465" spans="1:11" x14ac:dyDescent="0.25">
      <c r="A465" s="394" t="s">
        <v>17</v>
      </c>
      <c r="B465" s="389" t="e">
        <f>INDEX(Работы!$B$65:$B$374,MATCH(C465,Работы!$C$65:$C$374,0),1)</f>
        <v>#N/A</v>
      </c>
      <c r="C465" s="150"/>
      <c r="D465" s="150"/>
      <c r="E465" s="388" t="str">
        <f>IFERROR(VLOOKUP($D465,'Состав ВТК'!$B$9:$I$108,8,FALSE),"-")</f>
        <v>-</v>
      </c>
      <c r="F465" s="376" t="str">
        <f>IFERROR(INDEX(Работы!$D$65:$D$374,MATCH(C465,Работы!$C$65:$C$374,0),1),"-")</f>
        <v>-</v>
      </c>
      <c r="G465" s="390"/>
      <c r="H465" s="390"/>
      <c r="J465" s="322" t="s">
        <v>266</v>
      </c>
      <c r="K465" s="368" t="s">
        <v>268</v>
      </c>
    </row>
    <row r="466" spans="1:11" x14ac:dyDescent="0.25">
      <c r="A466" s="394" t="s">
        <v>17</v>
      </c>
      <c r="B466" s="389" t="e">
        <f>INDEX(Работы!$B$65:$B$374,MATCH(C466,Работы!$C$65:$C$374,0),1)</f>
        <v>#N/A</v>
      </c>
      <c r="C466" s="150"/>
      <c r="D466" s="150"/>
      <c r="E466" s="388" t="str">
        <f>IFERROR(VLOOKUP($D466,'Состав ВТК'!$B$9:$I$108,8,FALSE),"-")</f>
        <v>-</v>
      </c>
      <c r="F466" s="376" t="str">
        <f>IFERROR(INDEX(Работы!$D$65:$D$374,MATCH(C466,Работы!$C$65:$C$374,0),1),"-")</f>
        <v>-</v>
      </c>
      <c r="G466" s="390"/>
      <c r="H466" s="390"/>
      <c r="K466" s="356"/>
    </row>
    <row r="467" spans="1:11" x14ac:dyDescent="0.25">
      <c r="A467" s="394" t="s">
        <v>17</v>
      </c>
      <c r="B467" s="389" t="e">
        <f>INDEX(Работы!$B$65:$B$374,MATCH(C467,Работы!$C$65:$C$374,0),1)</f>
        <v>#N/A</v>
      </c>
      <c r="C467" s="150"/>
      <c r="D467" s="150"/>
      <c r="E467" s="388" t="str">
        <f>IFERROR(VLOOKUP($D467,'Состав ВТК'!$B$9:$I$108,8,FALSE),"-")</f>
        <v>-</v>
      </c>
      <c r="F467" s="376" t="str">
        <f>IFERROR(INDEX(Работы!$D$65:$D$374,MATCH(C467,Работы!$C$65:$C$374,0),1),"-")</f>
        <v>-</v>
      </c>
      <c r="G467" s="390"/>
      <c r="H467" s="390"/>
      <c r="K467" s="356"/>
    </row>
    <row r="468" spans="1:11" x14ac:dyDescent="0.25">
      <c r="A468" s="394" t="s">
        <v>17</v>
      </c>
      <c r="B468" s="389" t="e">
        <f>INDEX(Работы!$B$65:$B$374,MATCH(C468,Работы!$C$65:$C$374,0),1)</f>
        <v>#N/A</v>
      </c>
      <c r="C468" s="150"/>
      <c r="D468" s="150"/>
      <c r="E468" s="388" t="str">
        <f>IFERROR(VLOOKUP($D468,'Состав ВТК'!$B$9:$I$108,8,FALSE),"-")</f>
        <v>-</v>
      </c>
      <c r="F468" s="376" t="str">
        <f>IFERROR(INDEX(Работы!$D$65:$D$374,MATCH(C468,Работы!$C$65:$C$374,0),1),"-")</f>
        <v>-</v>
      </c>
      <c r="G468" s="390"/>
      <c r="H468" s="390"/>
      <c r="K468" s="356"/>
    </row>
    <row r="469" spans="1:11" x14ac:dyDescent="0.25">
      <c r="A469" s="394" t="s">
        <v>17</v>
      </c>
      <c r="B469" s="389" t="e">
        <f>INDEX(Работы!$B$65:$B$374,MATCH(C469,Работы!$C$65:$C$374,0),1)</f>
        <v>#N/A</v>
      </c>
      <c r="C469" s="150"/>
      <c r="D469" s="150"/>
      <c r="E469" s="388" t="str">
        <f>IFERROR(VLOOKUP($D469,'Состав ВТК'!$B$9:$I$108,8,FALSE),"-")</f>
        <v>-</v>
      </c>
      <c r="F469" s="376" t="str">
        <f>IFERROR(INDEX(Работы!$D$65:$D$374,MATCH(C469,Работы!$C$65:$C$374,0),1),"-")</f>
        <v>-</v>
      </c>
      <c r="G469" s="390"/>
      <c r="H469" s="390"/>
      <c r="K469" s="356"/>
    </row>
    <row r="470" spans="1:11" x14ac:dyDescent="0.25">
      <c r="A470" s="394" t="s">
        <v>17</v>
      </c>
      <c r="B470" s="389" t="e">
        <f>INDEX(Работы!$B$65:$B$374,MATCH(C470,Работы!$C$65:$C$374,0),1)</f>
        <v>#N/A</v>
      </c>
      <c r="C470" s="150"/>
      <c r="D470" s="150"/>
      <c r="E470" s="388" t="str">
        <f>IFERROR(VLOOKUP($D470,'Состав ВТК'!$B$9:$I$108,8,FALSE),"-")</f>
        <v>-</v>
      </c>
      <c r="F470" s="376" t="str">
        <f>IFERROR(INDEX(Работы!$D$65:$D$374,MATCH(C470,Работы!$C$65:$C$374,0),1),"-")</f>
        <v>-</v>
      </c>
      <c r="G470" s="390"/>
      <c r="H470" s="390"/>
      <c r="K470" s="356"/>
    </row>
    <row r="471" spans="1:11" x14ac:dyDescent="0.25">
      <c r="A471" s="394" t="s">
        <v>17</v>
      </c>
      <c r="B471" s="389" t="e">
        <f>INDEX(Работы!$B$65:$B$374,MATCH(C471,Работы!$C$65:$C$374,0),1)</f>
        <v>#N/A</v>
      </c>
      <c r="C471" s="150"/>
      <c r="D471" s="150"/>
      <c r="E471" s="388" t="str">
        <f>IFERROR(VLOOKUP($D471,'Состав ВТК'!$B$9:$I$108,8,FALSE),"-")</f>
        <v>-</v>
      </c>
      <c r="F471" s="376" t="str">
        <f>IFERROR(INDEX(Работы!$D$65:$D$374,MATCH(C471,Работы!$C$65:$C$374,0),1),"-")</f>
        <v>-</v>
      </c>
      <c r="G471" s="390"/>
      <c r="H471" s="390"/>
      <c r="K471" s="356"/>
    </row>
    <row r="472" spans="1:11" x14ac:dyDescent="0.25">
      <c r="A472" s="394" t="s">
        <v>17</v>
      </c>
      <c r="B472" s="389" t="e">
        <f>INDEX(Работы!$B$65:$B$374,MATCH(C472,Работы!$C$65:$C$374,0),1)</f>
        <v>#N/A</v>
      </c>
      <c r="C472" s="150"/>
      <c r="D472" s="150"/>
      <c r="E472" s="388" t="str">
        <f>IFERROR(VLOOKUP($D472,'Состав ВТК'!$B$9:$I$108,8,FALSE),"-")</f>
        <v>-</v>
      </c>
      <c r="F472" s="376" t="str">
        <f>IFERROR(INDEX(Работы!$D$65:$D$374,MATCH(C472,Работы!$C$65:$C$374,0),1),"-")</f>
        <v>-</v>
      </c>
      <c r="G472" s="390"/>
      <c r="H472" s="390"/>
      <c r="K472" s="356"/>
    </row>
    <row r="473" spans="1:11" x14ac:dyDescent="0.25">
      <c r="A473" s="394" t="s">
        <v>17</v>
      </c>
      <c r="B473" s="389" t="e">
        <f>INDEX(Работы!$B$65:$B$374,MATCH(C473,Работы!$C$65:$C$374,0),1)</f>
        <v>#N/A</v>
      </c>
      <c r="C473" s="150"/>
      <c r="D473" s="150"/>
      <c r="E473" s="388" t="str">
        <f>IFERROR(VLOOKUP($D473,'Состав ВТК'!$B$9:$I$108,8,FALSE),"-")</f>
        <v>-</v>
      </c>
      <c r="F473" s="376" t="str">
        <f>IFERROR(INDEX(Работы!$D$65:$D$374,MATCH(C473,Работы!$C$65:$C$374,0),1),"-")</f>
        <v>-</v>
      </c>
      <c r="G473" s="390"/>
      <c r="H473" s="390"/>
      <c r="K473" s="356"/>
    </row>
    <row r="474" spans="1:11" x14ac:dyDescent="0.25">
      <c r="A474" s="394" t="s">
        <v>17</v>
      </c>
      <c r="B474" s="389" t="e">
        <f>INDEX(Работы!$B$65:$B$374,MATCH(C474,Работы!$C$65:$C$374,0),1)</f>
        <v>#N/A</v>
      </c>
      <c r="C474" s="150"/>
      <c r="D474" s="150"/>
      <c r="E474" s="388" t="str">
        <f>IFERROR(VLOOKUP($D474,'Состав ВТК'!$B$9:$I$108,8,FALSE),"-")</f>
        <v>-</v>
      </c>
      <c r="F474" s="376" t="str">
        <f>IFERROR(INDEX(Работы!$D$65:$D$374,MATCH(C474,Работы!$C$65:$C$374,0),1),"-")</f>
        <v>-</v>
      </c>
      <c r="G474" s="390"/>
      <c r="H474" s="390"/>
      <c r="K474" s="356"/>
    </row>
    <row r="475" spans="1:11" x14ac:dyDescent="0.25">
      <c r="A475" s="394" t="s">
        <v>17</v>
      </c>
      <c r="B475" s="389" t="e">
        <f>INDEX(Работы!$B$65:$B$374,MATCH(C475,Работы!$C$65:$C$374,0),1)</f>
        <v>#N/A</v>
      </c>
      <c r="C475" s="150"/>
      <c r="D475" s="150"/>
      <c r="E475" s="388" t="str">
        <f>IFERROR(VLOOKUP($D475,'Состав ВТК'!$B$9:$I$108,8,FALSE),"-")</f>
        <v>-</v>
      </c>
      <c r="F475" s="376" t="str">
        <f>IFERROR(INDEX(Работы!$D$65:$D$374,MATCH(C475,Работы!$C$65:$C$374,0),1),"-")</f>
        <v>-</v>
      </c>
      <c r="G475" s="390"/>
      <c r="H475" s="390"/>
      <c r="K475" s="356"/>
    </row>
    <row r="476" spans="1:11" x14ac:dyDescent="0.25">
      <c r="A476" s="394" t="s">
        <v>17</v>
      </c>
      <c r="B476" s="389" t="e">
        <f>INDEX(Работы!$B$65:$B$374,MATCH(C476,Работы!$C$65:$C$374,0),1)</f>
        <v>#N/A</v>
      </c>
      <c r="C476" s="150"/>
      <c r="D476" s="150"/>
      <c r="E476" s="388" t="str">
        <f>IFERROR(VLOOKUP($D476,'Состав ВТК'!$B$9:$I$108,8,FALSE),"-")</f>
        <v>-</v>
      </c>
      <c r="F476" s="376" t="str">
        <f>IFERROR(INDEX(Работы!$D$65:$D$374,MATCH(C476,Работы!$C$65:$C$374,0),1),"-")</f>
        <v>-</v>
      </c>
      <c r="G476" s="390"/>
      <c r="H476" s="390"/>
      <c r="K476" s="356"/>
    </row>
    <row r="477" spans="1:11" x14ac:dyDescent="0.25">
      <c r="A477" s="394" t="s">
        <v>17</v>
      </c>
      <c r="B477" s="389" t="e">
        <f>INDEX(Работы!$B$65:$B$374,MATCH(C477,Работы!$C$65:$C$374,0),1)</f>
        <v>#N/A</v>
      </c>
      <c r="C477" s="150"/>
      <c r="D477" s="150"/>
      <c r="E477" s="388" t="str">
        <f>IFERROR(VLOOKUP($D477,'Состав ВТК'!$B$9:$I$108,8,FALSE),"-")</f>
        <v>-</v>
      </c>
      <c r="F477" s="376" t="str">
        <f>IFERROR(INDEX(Работы!$D$65:$D$374,MATCH(C477,Работы!$C$65:$C$374,0),1),"-")</f>
        <v>-</v>
      </c>
      <c r="G477" s="390"/>
      <c r="H477" s="390"/>
      <c r="K477" s="356"/>
    </row>
    <row r="478" spans="1:11" x14ac:dyDescent="0.25">
      <c r="A478" s="394" t="s">
        <v>17</v>
      </c>
      <c r="B478" s="389" t="e">
        <f>INDEX(Работы!$B$65:$B$374,MATCH(C478,Работы!$C$65:$C$374,0),1)</f>
        <v>#N/A</v>
      </c>
      <c r="C478" s="150"/>
      <c r="D478" s="150"/>
      <c r="E478" s="388" t="str">
        <f>IFERROR(VLOOKUP($D478,'Состав ВТК'!$B$9:$I$108,8,FALSE),"-")</f>
        <v>-</v>
      </c>
      <c r="F478" s="376" t="str">
        <f>IFERROR(INDEX(Работы!$D$65:$D$374,MATCH(C478,Работы!$C$65:$C$374,0),1),"-")</f>
        <v>-</v>
      </c>
      <c r="G478" s="390"/>
      <c r="H478" s="390"/>
      <c r="K478" s="356"/>
    </row>
    <row r="479" spans="1:11" x14ac:dyDescent="0.25">
      <c r="A479" s="394" t="s">
        <v>17</v>
      </c>
      <c r="B479" s="389" t="e">
        <f>INDEX(Работы!$B$65:$B$374,MATCH(C479,Работы!$C$65:$C$374,0),1)</f>
        <v>#N/A</v>
      </c>
      <c r="C479" s="150"/>
      <c r="D479" s="150"/>
      <c r="E479" s="388" t="str">
        <f>IFERROR(VLOOKUP($D479,'Состав ВТК'!$B$9:$I$108,8,FALSE),"-")</f>
        <v>-</v>
      </c>
      <c r="F479" s="376" t="str">
        <f>IFERROR(INDEX(Работы!$D$65:$D$374,MATCH(C479,Работы!$C$65:$C$374,0),1),"-")</f>
        <v>-</v>
      </c>
      <c r="G479" s="390"/>
      <c r="H479" s="390"/>
      <c r="K479" s="356"/>
    </row>
    <row r="480" spans="1:11" x14ac:dyDescent="0.25">
      <c r="A480" s="394" t="s">
        <v>17</v>
      </c>
      <c r="B480" s="389" t="e">
        <f>INDEX(Работы!$B$65:$B$374,MATCH(C480,Работы!$C$65:$C$374,0),1)</f>
        <v>#N/A</v>
      </c>
      <c r="C480" s="150"/>
      <c r="D480" s="150"/>
      <c r="E480" s="388" t="str">
        <f>IFERROR(VLOOKUP($D480,'Состав ВТК'!$B$9:$I$108,8,FALSE),"-")</f>
        <v>-</v>
      </c>
      <c r="F480" s="376" t="str">
        <f>IFERROR(INDEX(Работы!$D$65:$D$374,MATCH(C480,Работы!$C$65:$C$374,0),1),"-")</f>
        <v>-</v>
      </c>
      <c r="G480" s="390"/>
      <c r="H480" s="390"/>
      <c r="K480" s="356"/>
    </row>
    <row r="481" spans="1:11" x14ac:dyDescent="0.25">
      <c r="A481" s="394" t="s">
        <v>17</v>
      </c>
      <c r="B481" s="389" t="e">
        <f>INDEX(Работы!$B$65:$B$374,MATCH(C481,Работы!$C$65:$C$374,0),1)</f>
        <v>#N/A</v>
      </c>
      <c r="C481" s="150"/>
      <c r="D481" s="150"/>
      <c r="E481" s="388" t="str">
        <f>IFERROR(VLOOKUP($D481,'Состав ВТК'!$B$9:$I$108,8,FALSE),"-")</f>
        <v>-</v>
      </c>
      <c r="F481" s="376" t="str">
        <f>IFERROR(INDEX(Работы!$D$65:$D$374,MATCH(C481,Работы!$C$65:$C$374,0),1),"-")</f>
        <v>-</v>
      </c>
      <c r="G481" s="390"/>
      <c r="H481" s="390"/>
      <c r="K481" s="356"/>
    </row>
    <row r="482" spans="1:11" x14ac:dyDescent="0.25">
      <c r="A482" s="394" t="s">
        <v>17</v>
      </c>
      <c r="B482" s="389" t="e">
        <f>INDEX(Работы!$B$65:$B$374,MATCH(C482,Работы!$C$65:$C$374,0),1)</f>
        <v>#N/A</v>
      </c>
      <c r="C482" s="150"/>
      <c r="D482" s="150"/>
      <c r="E482" s="388" t="str">
        <f>IFERROR(VLOOKUP($D482,'Состав ВТК'!$B$9:$I$108,8,FALSE),"-")</f>
        <v>-</v>
      </c>
      <c r="F482" s="376" t="str">
        <f>IFERROR(INDEX(Работы!$D$65:$D$374,MATCH(C482,Работы!$C$65:$C$374,0),1),"-")</f>
        <v>-</v>
      </c>
      <c r="G482" s="390"/>
      <c r="H482" s="390"/>
      <c r="K482" s="356"/>
    </row>
    <row r="483" spans="1:11" x14ac:dyDescent="0.25">
      <c r="A483" s="394" t="s">
        <v>17</v>
      </c>
      <c r="B483" s="389" t="e">
        <f>INDEX(Работы!$B$65:$B$374,MATCH(C483,Работы!$C$65:$C$374,0),1)</f>
        <v>#N/A</v>
      </c>
      <c r="C483" s="150"/>
      <c r="D483" s="150"/>
      <c r="E483" s="388" t="str">
        <f>IFERROR(VLOOKUP($D483,'Состав ВТК'!$B$9:$I$108,8,FALSE),"-")</f>
        <v>-</v>
      </c>
      <c r="F483" s="376" t="str">
        <f>IFERROR(INDEX(Работы!$D$65:$D$374,MATCH(C483,Работы!$C$65:$C$374,0),1),"-")</f>
        <v>-</v>
      </c>
      <c r="G483" s="390"/>
      <c r="H483" s="390"/>
      <c r="K483" s="356"/>
    </row>
    <row r="484" spans="1:11" x14ac:dyDescent="0.25">
      <c r="A484" s="394" t="s">
        <v>17</v>
      </c>
      <c r="B484" s="389" t="e">
        <f>INDEX(Работы!$B$65:$B$374,MATCH(C484,Работы!$C$65:$C$374,0),1)</f>
        <v>#N/A</v>
      </c>
      <c r="C484" s="150"/>
      <c r="D484" s="150"/>
      <c r="E484" s="388" t="str">
        <f>IFERROR(VLOOKUP($D484,'Состав ВТК'!$B$9:$I$108,8,FALSE),"-")</f>
        <v>-</v>
      </c>
      <c r="F484" s="376" t="str">
        <f>IFERROR(INDEX(Работы!$D$65:$D$374,MATCH(C484,Работы!$C$65:$C$374,0),1),"-")</f>
        <v>-</v>
      </c>
      <c r="G484" s="390"/>
      <c r="H484" s="390"/>
      <c r="K484" s="356"/>
    </row>
    <row r="485" spans="1:11" x14ac:dyDescent="0.25">
      <c r="A485" s="394" t="s">
        <v>17</v>
      </c>
      <c r="B485" s="389" t="e">
        <f>INDEX(Работы!$B$65:$B$374,MATCH(C485,Работы!$C$65:$C$374,0),1)</f>
        <v>#N/A</v>
      </c>
      <c r="C485" s="150"/>
      <c r="D485" s="150"/>
      <c r="E485" s="388" t="str">
        <f>IFERROR(VLOOKUP($D485,'Состав ВТК'!$B$9:$I$108,8,FALSE),"-")</f>
        <v>-</v>
      </c>
      <c r="F485" s="376" t="str">
        <f>IFERROR(INDEX(Работы!$D$65:$D$374,MATCH(C485,Работы!$C$65:$C$374,0),1),"-")</f>
        <v>-</v>
      </c>
      <c r="G485" s="390"/>
      <c r="H485" s="390"/>
      <c r="K485" s="356"/>
    </row>
    <row r="486" spans="1:11" x14ac:dyDescent="0.25">
      <c r="A486" s="394" t="s">
        <v>17</v>
      </c>
      <c r="B486" s="389" t="e">
        <f>INDEX(Работы!$B$65:$B$374,MATCH(C486,Работы!$C$65:$C$374,0),1)</f>
        <v>#N/A</v>
      </c>
      <c r="C486" s="150"/>
      <c r="D486" s="150"/>
      <c r="E486" s="388" t="str">
        <f>IFERROR(VLOOKUP($D486,'Состав ВТК'!$B$9:$I$108,8,FALSE),"-")</f>
        <v>-</v>
      </c>
      <c r="F486" s="376" t="str">
        <f>IFERROR(INDEX(Работы!$D$65:$D$374,MATCH(C486,Работы!$C$65:$C$374,0),1),"-")</f>
        <v>-</v>
      </c>
      <c r="G486" s="390"/>
      <c r="H486" s="390"/>
      <c r="K486" s="356"/>
    </row>
    <row r="487" spans="1:11" x14ac:dyDescent="0.25">
      <c r="A487" s="394" t="s">
        <v>17</v>
      </c>
      <c r="B487" s="389" t="e">
        <f>INDEX(Работы!$B$65:$B$374,MATCH(C487,Работы!$C$65:$C$374,0),1)</f>
        <v>#N/A</v>
      </c>
      <c r="C487" s="150"/>
      <c r="D487" s="150"/>
      <c r="E487" s="388" t="str">
        <f>IFERROR(VLOOKUP($D487,'Состав ВТК'!$B$9:$I$108,8,FALSE),"-")</f>
        <v>-</v>
      </c>
      <c r="F487" s="376" t="str">
        <f>IFERROR(INDEX(Работы!$D$65:$D$374,MATCH(C487,Работы!$C$65:$C$374,0),1),"-")</f>
        <v>-</v>
      </c>
      <c r="G487" s="390"/>
      <c r="H487" s="390"/>
      <c r="K487" s="356"/>
    </row>
    <row r="488" spans="1:11" x14ac:dyDescent="0.25">
      <c r="A488" s="394" t="s">
        <v>17</v>
      </c>
      <c r="B488" s="389" t="e">
        <f>INDEX(Работы!$B$65:$B$374,MATCH(C488,Работы!$C$65:$C$374,0),1)</f>
        <v>#N/A</v>
      </c>
      <c r="C488" s="150"/>
      <c r="D488" s="150"/>
      <c r="E488" s="388" t="str">
        <f>IFERROR(VLOOKUP($D488,'Состав ВТК'!$B$9:$I$108,8,FALSE),"-")</f>
        <v>-</v>
      </c>
      <c r="F488" s="376" t="str">
        <f>IFERROR(INDEX(Работы!$D$65:$D$374,MATCH(C488,Работы!$C$65:$C$374,0),1),"-")</f>
        <v>-</v>
      </c>
      <c r="G488" s="390"/>
      <c r="H488" s="390"/>
      <c r="K488" s="356"/>
    </row>
    <row r="489" spans="1:11" x14ac:dyDescent="0.25">
      <c r="A489" s="394" t="s">
        <v>17</v>
      </c>
      <c r="B489" s="389" t="e">
        <f>INDEX(Работы!$B$65:$B$374,MATCH(C489,Работы!$C$65:$C$374,0),1)</f>
        <v>#N/A</v>
      </c>
      <c r="C489" s="150"/>
      <c r="D489" s="150"/>
      <c r="E489" s="388" t="str">
        <f>IFERROR(VLOOKUP($D489,'Состав ВТК'!$B$9:$I$108,8,FALSE),"-")</f>
        <v>-</v>
      </c>
      <c r="F489" s="376" t="str">
        <f>IFERROR(INDEX(Работы!$D$65:$D$374,MATCH(C489,Работы!$C$65:$C$374,0),1),"-")</f>
        <v>-</v>
      </c>
      <c r="G489" s="390"/>
      <c r="H489" s="390"/>
      <c r="K489" s="356"/>
    </row>
    <row r="490" spans="1:11" x14ac:dyDescent="0.25">
      <c r="A490" s="394" t="s">
        <v>17</v>
      </c>
      <c r="B490" s="389" t="e">
        <f>INDEX(Работы!$B$65:$B$374,MATCH(C490,Работы!$C$65:$C$374,0),1)</f>
        <v>#N/A</v>
      </c>
      <c r="C490" s="150"/>
      <c r="D490" s="150"/>
      <c r="E490" s="388" t="str">
        <f>IFERROR(VLOOKUP($D490,'Состав ВТК'!$B$9:$I$108,8,FALSE),"-")</f>
        <v>-</v>
      </c>
      <c r="F490" s="376" t="str">
        <f>IFERROR(INDEX(Работы!$D$65:$D$374,MATCH(C490,Работы!$C$65:$C$374,0),1),"-")</f>
        <v>-</v>
      </c>
      <c r="G490" s="390"/>
      <c r="H490" s="390"/>
      <c r="K490" s="356"/>
    </row>
    <row r="491" spans="1:11" x14ac:dyDescent="0.25">
      <c r="A491" s="394" t="s">
        <v>17</v>
      </c>
      <c r="B491" s="389" t="e">
        <f>INDEX(Работы!$B$65:$B$374,MATCH(C491,Работы!$C$65:$C$374,0),1)</f>
        <v>#N/A</v>
      </c>
      <c r="C491" s="150"/>
      <c r="D491" s="150"/>
      <c r="E491" s="388" t="str">
        <f>IFERROR(VLOOKUP($D491,'Состав ВТК'!$B$9:$I$108,8,FALSE),"-")</f>
        <v>-</v>
      </c>
      <c r="F491" s="376" t="str">
        <f>IFERROR(INDEX(Работы!$D$65:$D$374,MATCH(C491,Работы!$C$65:$C$374,0),1),"-")</f>
        <v>-</v>
      </c>
      <c r="G491" s="390"/>
      <c r="H491" s="390"/>
      <c r="K491" s="356"/>
    </row>
    <row r="492" spans="1:11" x14ac:dyDescent="0.25">
      <c r="A492" s="394" t="s">
        <v>17</v>
      </c>
      <c r="B492" s="389" t="e">
        <f>INDEX(Работы!$B$65:$B$374,MATCH(C492,Работы!$C$65:$C$374,0),1)</f>
        <v>#N/A</v>
      </c>
      <c r="C492" s="150"/>
      <c r="D492" s="150"/>
      <c r="E492" s="388" t="str">
        <f>IFERROR(VLOOKUP($D492,'Состав ВТК'!$B$9:$I$108,8,FALSE),"-")</f>
        <v>-</v>
      </c>
      <c r="F492" s="376" t="str">
        <f>IFERROR(INDEX(Работы!$D$65:$D$374,MATCH(C492,Работы!$C$65:$C$374,0),1),"-")</f>
        <v>-</v>
      </c>
      <c r="G492" s="390"/>
      <c r="H492" s="390"/>
      <c r="K492" s="356"/>
    </row>
    <row r="493" spans="1:11" x14ac:dyDescent="0.25">
      <c r="A493" s="394" t="s">
        <v>17</v>
      </c>
      <c r="B493" s="389" t="e">
        <f>INDEX(Работы!$B$65:$B$374,MATCH(C493,Работы!$C$65:$C$374,0),1)</f>
        <v>#N/A</v>
      </c>
      <c r="C493" s="150"/>
      <c r="D493" s="150"/>
      <c r="E493" s="388" t="str">
        <f>IFERROR(VLOOKUP($D493,'Состав ВТК'!$B$9:$I$108,8,FALSE),"-")</f>
        <v>-</v>
      </c>
      <c r="F493" s="376" t="str">
        <f>IFERROR(INDEX(Работы!$D$65:$D$374,MATCH(C493,Работы!$C$65:$C$374,0),1),"-")</f>
        <v>-</v>
      </c>
      <c r="G493" s="390"/>
      <c r="H493" s="390"/>
      <c r="K493" s="356"/>
    </row>
    <row r="494" spans="1:11" x14ac:dyDescent="0.25">
      <c r="A494" s="394" t="s">
        <v>17</v>
      </c>
      <c r="B494" s="389" t="e">
        <f>INDEX(Работы!$B$65:$B$374,MATCH(C494,Работы!$C$65:$C$374,0),1)</f>
        <v>#N/A</v>
      </c>
      <c r="C494" s="150"/>
      <c r="D494" s="150"/>
      <c r="E494" s="388" t="str">
        <f>IFERROR(VLOOKUP($D494,'Состав ВТК'!$B$9:$I$108,8,FALSE),"-")</f>
        <v>-</v>
      </c>
      <c r="F494" s="376" t="str">
        <f>IFERROR(INDEX(Работы!$D$65:$D$374,MATCH(C494,Работы!$C$65:$C$374,0),1),"-")</f>
        <v>-</v>
      </c>
      <c r="G494" s="390"/>
      <c r="H494" s="390"/>
      <c r="K494" s="356"/>
    </row>
    <row r="495" spans="1:11" x14ac:dyDescent="0.25">
      <c r="A495" s="394" t="s">
        <v>17</v>
      </c>
      <c r="B495" s="389" t="e">
        <f>INDEX(Работы!$B$65:$B$374,MATCH(C495,Работы!$C$65:$C$374,0),1)</f>
        <v>#N/A</v>
      </c>
      <c r="C495" s="150"/>
      <c r="D495" s="150"/>
      <c r="E495" s="388" t="str">
        <f>IFERROR(VLOOKUP($D495,'Состав ВТК'!$B$9:$I$108,8,FALSE),"-")</f>
        <v>-</v>
      </c>
      <c r="F495" s="376" t="str">
        <f>IFERROR(INDEX(Работы!$D$65:$D$374,MATCH(C495,Работы!$C$65:$C$374,0),1),"-")</f>
        <v>-</v>
      </c>
      <c r="G495" s="390"/>
      <c r="H495" s="390"/>
      <c r="K495" s="356"/>
    </row>
    <row r="496" spans="1:11" x14ac:dyDescent="0.25">
      <c r="A496" s="394" t="s">
        <v>17</v>
      </c>
      <c r="B496" s="389" t="e">
        <f>INDEX(Работы!$B$65:$B$374,MATCH(C496,Работы!$C$65:$C$374,0),1)</f>
        <v>#N/A</v>
      </c>
      <c r="C496" s="150"/>
      <c r="D496" s="150"/>
      <c r="E496" s="388" t="str">
        <f>IFERROR(VLOOKUP($D496,'Состав ВТК'!$B$9:$I$108,8,FALSE),"-")</f>
        <v>-</v>
      </c>
      <c r="F496" s="376" t="str">
        <f>IFERROR(INDEX(Работы!$D$65:$D$374,MATCH(C496,Работы!$C$65:$C$374,0),1),"-")</f>
        <v>-</v>
      </c>
      <c r="G496" s="390"/>
      <c r="H496" s="390"/>
      <c r="K496" s="356"/>
    </row>
    <row r="497" spans="1:11" x14ac:dyDescent="0.25">
      <c r="A497" s="394" t="s">
        <v>17</v>
      </c>
      <c r="B497" s="389" t="e">
        <f>INDEX(Работы!$B$65:$B$374,MATCH(C497,Работы!$C$65:$C$374,0),1)</f>
        <v>#N/A</v>
      </c>
      <c r="C497" s="150"/>
      <c r="D497" s="150"/>
      <c r="E497" s="388" t="str">
        <f>IFERROR(VLOOKUP($D497,'Состав ВТК'!$B$9:$I$108,8,FALSE),"-")</f>
        <v>-</v>
      </c>
      <c r="F497" s="376" t="str">
        <f>IFERROR(INDEX(Работы!$D$65:$D$374,MATCH(C497,Работы!$C$65:$C$374,0),1),"-")</f>
        <v>-</v>
      </c>
      <c r="G497" s="390"/>
      <c r="H497" s="390"/>
      <c r="K497" s="356"/>
    </row>
    <row r="498" spans="1:11" x14ac:dyDescent="0.25">
      <c r="A498" s="394" t="s">
        <v>17</v>
      </c>
      <c r="B498" s="389" t="e">
        <f>INDEX(Работы!$B$65:$B$374,MATCH(C498,Работы!$C$65:$C$374,0),1)</f>
        <v>#N/A</v>
      </c>
      <c r="C498" s="150"/>
      <c r="D498" s="150"/>
      <c r="E498" s="388" t="str">
        <f>IFERROR(VLOOKUP($D498,'Состав ВТК'!$B$9:$I$108,8,FALSE),"-")</f>
        <v>-</v>
      </c>
      <c r="F498" s="376" t="str">
        <f>IFERROR(INDEX(Работы!$D$65:$D$374,MATCH(C498,Работы!$C$65:$C$374,0),1),"-")</f>
        <v>-</v>
      </c>
      <c r="G498" s="390"/>
      <c r="H498" s="390"/>
      <c r="K498" s="356"/>
    </row>
    <row r="499" spans="1:11" x14ac:dyDescent="0.25">
      <c r="A499" s="394" t="s">
        <v>17</v>
      </c>
      <c r="B499" s="389" t="e">
        <f>INDEX(Работы!$B$65:$B$374,MATCH(C499,Работы!$C$65:$C$374,0),1)</f>
        <v>#N/A</v>
      </c>
      <c r="C499" s="150"/>
      <c r="D499" s="150"/>
      <c r="E499" s="388" t="str">
        <f>IFERROR(VLOOKUP($D499,'Состав ВТК'!$B$9:$I$108,8,FALSE),"-")</f>
        <v>-</v>
      </c>
      <c r="F499" s="376" t="str">
        <f>IFERROR(INDEX(Работы!$D$65:$D$374,MATCH(C499,Работы!$C$65:$C$374,0),1),"-")</f>
        <v>-</v>
      </c>
      <c r="G499" s="390"/>
      <c r="H499" s="390"/>
      <c r="K499" s="356"/>
    </row>
    <row r="500" spans="1:11" x14ac:dyDescent="0.25">
      <c r="A500" s="394" t="s">
        <v>17</v>
      </c>
      <c r="B500" s="389" t="e">
        <f>INDEX(Работы!$B$65:$B$374,MATCH(C500,Работы!$C$65:$C$374,0),1)</f>
        <v>#N/A</v>
      </c>
      <c r="C500" s="150"/>
      <c r="D500" s="150"/>
      <c r="E500" s="388" t="str">
        <f>IFERROR(VLOOKUP($D500,'Состав ВТК'!$B$9:$I$108,8,FALSE),"-")</f>
        <v>-</v>
      </c>
      <c r="F500" s="376" t="str">
        <f>IFERROR(INDEX(Работы!$D$65:$D$374,MATCH(C500,Работы!$C$65:$C$374,0),1),"-")</f>
        <v>-</v>
      </c>
      <c r="G500" s="390"/>
      <c r="H500" s="390"/>
      <c r="K500" s="356"/>
    </row>
    <row r="501" spans="1:11" x14ac:dyDescent="0.25">
      <c r="A501" s="394" t="s">
        <v>17</v>
      </c>
      <c r="B501" s="389" t="e">
        <f>INDEX(Работы!$B$65:$B$374,MATCH(C501,Работы!$C$65:$C$374,0),1)</f>
        <v>#N/A</v>
      </c>
      <c r="C501" s="150"/>
      <c r="D501" s="150"/>
      <c r="E501" s="388" t="str">
        <f>IFERROR(VLOOKUP($D501,'Состав ВТК'!$B$9:$I$108,8,FALSE),"-")</f>
        <v>-</v>
      </c>
      <c r="F501" s="376" t="str">
        <f>IFERROR(INDEX(Работы!$D$65:$D$374,MATCH(C501,Работы!$C$65:$C$374,0),1),"-")</f>
        <v>-</v>
      </c>
      <c r="G501" s="390"/>
      <c r="H501" s="390"/>
      <c r="K501" s="356"/>
    </row>
    <row r="502" spans="1:11" x14ac:dyDescent="0.25">
      <c r="A502" s="394" t="s">
        <v>17</v>
      </c>
      <c r="B502" s="389" t="e">
        <f>INDEX(Работы!$B$65:$B$374,MATCH(C502,Работы!$C$65:$C$374,0),1)</f>
        <v>#N/A</v>
      </c>
      <c r="C502" s="150"/>
      <c r="D502" s="150"/>
      <c r="E502" s="388" t="str">
        <f>IFERROR(VLOOKUP($D502,'Состав ВТК'!$B$9:$I$108,8,FALSE),"-")</f>
        <v>-</v>
      </c>
      <c r="F502" s="376" t="str">
        <f>IFERROR(INDEX(Работы!$D$65:$D$374,MATCH(C502,Работы!$C$65:$C$374,0),1),"-")</f>
        <v>-</v>
      </c>
      <c r="G502" s="390"/>
      <c r="H502" s="390"/>
      <c r="K502" s="356"/>
    </row>
    <row r="503" spans="1:11" x14ac:dyDescent="0.25">
      <c r="A503" s="394" t="s">
        <v>17</v>
      </c>
      <c r="B503" s="389" t="e">
        <f>INDEX(Работы!$B$65:$B$374,MATCH(C503,Работы!$C$65:$C$374,0),1)</f>
        <v>#N/A</v>
      </c>
      <c r="C503" s="150"/>
      <c r="D503" s="150"/>
      <c r="E503" s="388" t="str">
        <f>IFERROR(VLOOKUP($D503,'Состав ВТК'!$B$9:$I$108,8,FALSE),"-")</f>
        <v>-</v>
      </c>
      <c r="F503" s="376" t="str">
        <f>IFERROR(INDEX(Работы!$D$65:$D$374,MATCH(C503,Работы!$C$65:$C$374,0),1),"-")</f>
        <v>-</v>
      </c>
      <c r="G503" s="390"/>
      <c r="H503" s="390"/>
      <c r="K503" s="356"/>
    </row>
    <row r="504" spans="1:11" x14ac:dyDescent="0.25">
      <c r="A504" s="394" t="s">
        <v>17</v>
      </c>
      <c r="B504" s="389" t="e">
        <f>INDEX(Работы!$B$65:$B$374,MATCH(C504,Работы!$C$65:$C$374,0),1)</f>
        <v>#N/A</v>
      </c>
      <c r="C504" s="150"/>
      <c r="D504" s="150"/>
      <c r="E504" s="388" t="str">
        <f>IFERROR(VLOOKUP($D504,'Состав ВТК'!$B$9:$I$108,8,FALSE),"-")</f>
        <v>-</v>
      </c>
      <c r="F504" s="376" t="str">
        <f>IFERROR(INDEX(Работы!$D$65:$D$374,MATCH(C504,Работы!$C$65:$C$374,0),1),"-")</f>
        <v>-</v>
      </c>
      <c r="G504" s="390"/>
      <c r="H504" s="390"/>
      <c r="K504" s="356"/>
    </row>
    <row r="505" spans="1:11" x14ac:dyDescent="0.25">
      <c r="A505" s="394" t="s">
        <v>17</v>
      </c>
      <c r="B505" s="389" t="e">
        <f>INDEX(Работы!$B$65:$B$374,MATCH(C505,Работы!$C$65:$C$374,0),1)</f>
        <v>#N/A</v>
      </c>
      <c r="C505" s="150"/>
      <c r="D505" s="150"/>
      <c r="E505" s="388" t="str">
        <f>IFERROR(VLOOKUP($D505,'Состав ВТК'!$B$9:$I$108,8,FALSE),"-")</f>
        <v>-</v>
      </c>
      <c r="F505" s="376" t="str">
        <f>IFERROR(INDEX(Работы!$D$65:$D$374,MATCH(C505,Работы!$C$65:$C$374,0),1),"-")</f>
        <v>-</v>
      </c>
      <c r="G505" s="390"/>
      <c r="H505" s="390"/>
      <c r="K505" s="356"/>
    </row>
    <row r="506" spans="1:11" x14ac:dyDescent="0.25">
      <c r="A506" s="394" t="s">
        <v>17</v>
      </c>
      <c r="B506" s="389" t="e">
        <f>INDEX(Работы!$B$65:$B$374,MATCH(C506,Работы!$C$65:$C$374,0),1)</f>
        <v>#N/A</v>
      </c>
      <c r="C506" s="150"/>
      <c r="D506" s="150"/>
      <c r="E506" s="388" t="str">
        <f>IFERROR(VLOOKUP($D506,'Состав ВТК'!$B$9:$I$108,8,FALSE),"-")</f>
        <v>-</v>
      </c>
      <c r="F506" s="376" t="str">
        <f>IFERROR(INDEX(Работы!$D$65:$D$374,MATCH(C506,Работы!$C$65:$C$374,0),1),"-")</f>
        <v>-</v>
      </c>
      <c r="G506" s="390"/>
      <c r="H506" s="390"/>
      <c r="K506" s="356"/>
    </row>
    <row r="507" spans="1:11" x14ac:dyDescent="0.25">
      <c r="A507" s="394" t="s">
        <v>17</v>
      </c>
      <c r="B507" s="389" t="e">
        <f>INDEX(Работы!$B$65:$B$374,MATCH(C507,Работы!$C$65:$C$374,0),1)</f>
        <v>#N/A</v>
      </c>
      <c r="C507" s="150"/>
      <c r="D507" s="150"/>
      <c r="E507" s="388" t="str">
        <f>IFERROR(VLOOKUP($D507,'Состав ВТК'!$B$9:$I$108,8,FALSE),"-")</f>
        <v>-</v>
      </c>
      <c r="F507" s="376" t="str">
        <f>IFERROR(INDEX(Работы!$D$65:$D$374,MATCH(C507,Работы!$C$65:$C$374,0),1),"-")</f>
        <v>-</v>
      </c>
      <c r="G507" s="390"/>
      <c r="H507" s="390"/>
      <c r="K507" s="356"/>
    </row>
    <row r="508" spans="1:11" x14ac:dyDescent="0.25">
      <c r="A508" s="394" t="s">
        <v>17</v>
      </c>
      <c r="B508" s="389" t="e">
        <f>INDEX(Работы!$B$65:$B$374,MATCH(C508,Работы!$C$65:$C$374,0),1)</f>
        <v>#N/A</v>
      </c>
      <c r="C508" s="150"/>
      <c r="D508" s="150"/>
      <c r="E508" s="388" t="str">
        <f>IFERROR(VLOOKUP($D508,'Состав ВТК'!$B$9:$I$108,8,FALSE),"-")</f>
        <v>-</v>
      </c>
      <c r="F508" s="376" t="str">
        <f>IFERROR(INDEX(Работы!$D$65:$D$374,MATCH(C508,Работы!$C$65:$C$374,0),1),"-")</f>
        <v>-</v>
      </c>
      <c r="G508" s="390"/>
      <c r="H508" s="390"/>
      <c r="K508" s="356"/>
    </row>
    <row r="509" spans="1:11" x14ac:dyDescent="0.25">
      <c r="A509" s="394" t="s">
        <v>17</v>
      </c>
      <c r="B509" s="389" t="e">
        <f>INDEX(Работы!$B$65:$B$374,MATCH(C509,Работы!$C$65:$C$374,0),1)</f>
        <v>#N/A</v>
      </c>
      <c r="C509" s="150"/>
      <c r="D509" s="150"/>
      <c r="E509" s="388" t="str">
        <f>IFERROR(VLOOKUP($D509,'Состав ВТК'!$B$9:$I$108,8,FALSE),"-")</f>
        <v>-</v>
      </c>
      <c r="F509" s="376" t="str">
        <f>IFERROR(INDEX(Работы!$D$65:$D$374,MATCH(C509,Работы!$C$65:$C$374,0),1),"-")</f>
        <v>-</v>
      </c>
      <c r="G509" s="390"/>
      <c r="H509" s="390"/>
      <c r="K509" s="356"/>
    </row>
    <row r="510" spans="1:11" x14ac:dyDescent="0.25">
      <c r="A510" s="394" t="s">
        <v>17</v>
      </c>
      <c r="B510" s="389" t="e">
        <f>INDEX(Работы!$B$65:$B$374,MATCH(C510,Работы!$C$65:$C$374,0),1)</f>
        <v>#N/A</v>
      </c>
      <c r="C510" s="150"/>
      <c r="D510" s="150"/>
      <c r="E510" s="388" t="str">
        <f>IFERROR(VLOOKUP($D510,'Состав ВТК'!$B$9:$I$108,8,FALSE),"-")</f>
        <v>-</v>
      </c>
      <c r="F510" s="376" t="str">
        <f>IFERROR(INDEX(Работы!$D$65:$D$374,MATCH(C510,Работы!$C$65:$C$374,0),1),"-")</f>
        <v>-</v>
      </c>
      <c r="G510" s="390"/>
      <c r="H510" s="390"/>
      <c r="K510" s="356"/>
    </row>
    <row r="511" spans="1:11" x14ac:dyDescent="0.25">
      <c r="A511" s="394" t="s">
        <v>17</v>
      </c>
      <c r="B511" s="389" t="e">
        <f>INDEX(Работы!$B$65:$B$374,MATCH(C511,Работы!$C$65:$C$374,0),1)</f>
        <v>#N/A</v>
      </c>
      <c r="C511" s="150"/>
      <c r="D511" s="150"/>
      <c r="E511" s="388" t="str">
        <f>IFERROR(VLOOKUP($D511,'Состав ВТК'!$B$9:$I$108,8,FALSE),"-")</f>
        <v>-</v>
      </c>
      <c r="F511" s="376" t="str">
        <f>IFERROR(INDEX(Работы!$D$65:$D$374,MATCH(C511,Работы!$C$65:$C$374,0),1),"-")</f>
        <v>-</v>
      </c>
      <c r="G511" s="390"/>
      <c r="H511" s="390"/>
      <c r="K511" s="356"/>
    </row>
    <row r="512" spans="1:11" x14ac:dyDescent="0.25">
      <c r="A512" s="394" t="s">
        <v>17</v>
      </c>
      <c r="B512" s="389" t="e">
        <f>INDEX(Работы!$B$65:$B$374,MATCH(C512,Работы!$C$65:$C$374,0),1)</f>
        <v>#N/A</v>
      </c>
      <c r="C512" s="150"/>
      <c r="D512" s="150"/>
      <c r="E512" s="388" t="str">
        <f>IFERROR(VLOOKUP($D512,'Состав ВТК'!$B$9:$I$108,8,FALSE),"-")</f>
        <v>-</v>
      </c>
      <c r="F512" s="376" t="str">
        <f>IFERROR(INDEX(Работы!$D$65:$D$374,MATCH(C512,Работы!$C$65:$C$374,0),1),"-")</f>
        <v>-</v>
      </c>
      <c r="G512" s="390"/>
      <c r="H512" s="390"/>
      <c r="K512" s="356"/>
    </row>
    <row r="513" spans="1:11" x14ac:dyDescent="0.25">
      <c r="A513" s="394" t="s">
        <v>17</v>
      </c>
      <c r="B513" s="389" t="e">
        <f>INDEX(Работы!$B$65:$B$374,MATCH(C513,Работы!$C$65:$C$374,0),1)</f>
        <v>#N/A</v>
      </c>
      <c r="C513" s="150"/>
      <c r="D513" s="150"/>
      <c r="E513" s="388" t="str">
        <f>IFERROR(VLOOKUP($D513,'Состав ВТК'!$B$9:$I$108,8,FALSE),"-")</f>
        <v>-</v>
      </c>
      <c r="F513" s="376" t="str">
        <f>IFERROR(INDEX(Работы!$D$65:$D$374,MATCH(C513,Работы!$C$65:$C$374,0),1),"-")</f>
        <v>-</v>
      </c>
      <c r="G513" s="390"/>
      <c r="H513" s="390"/>
      <c r="K513" s="356"/>
    </row>
    <row r="514" spans="1:11" x14ac:dyDescent="0.25">
      <c r="A514" s="394" t="s">
        <v>17</v>
      </c>
      <c r="B514" s="389" t="e">
        <f>INDEX(Работы!$B$65:$B$374,MATCH(C514,Работы!$C$65:$C$374,0),1)</f>
        <v>#N/A</v>
      </c>
      <c r="C514" s="150"/>
      <c r="D514" s="150"/>
      <c r="E514" s="388" t="str">
        <f>IFERROR(VLOOKUP($D514,'Состав ВТК'!$B$9:$I$108,8,FALSE),"-")</f>
        <v>-</v>
      </c>
      <c r="F514" s="376" t="str">
        <f>IFERROR(INDEX(Работы!$D$65:$D$374,MATCH(C514,Работы!$C$65:$C$374,0),1),"-")</f>
        <v>-</v>
      </c>
      <c r="G514" s="390"/>
      <c r="H514" s="390"/>
      <c r="K514" s="356"/>
    </row>
    <row r="515" spans="1:11" x14ac:dyDescent="0.25">
      <c r="A515" s="394" t="s">
        <v>17</v>
      </c>
      <c r="B515" s="389" t="e">
        <f>INDEX(Работы!$B$65:$B$374,MATCH(C515,Работы!$C$65:$C$374,0),1)</f>
        <v>#N/A</v>
      </c>
      <c r="C515" s="150"/>
      <c r="D515" s="150"/>
      <c r="E515" s="388" t="str">
        <f>IFERROR(VLOOKUP($D515,'Состав ВТК'!$B$9:$I$108,8,FALSE),"-")</f>
        <v>-</v>
      </c>
      <c r="F515" s="376" t="str">
        <f>IFERROR(INDEX(Работы!$D$65:$D$374,MATCH(C515,Работы!$C$65:$C$374,0),1),"-")</f>
        <v>-</v>
      </c>
      <c r="G515" s="390"/>
      <c r="H515" s="390"/>
      <c r="K515" s="356"/>
    </row>
    <row r="516" spans="1:11" x14ac:dyDescent="0.25">
      <c r="A516" s="394" t="s">
        <v>17</v>
      </c>
      <c r="B516" s="389" t="e">
        <f>INDEX(Работы!$B$65:$B$374,MATCH(C516,Работы!$C$65:$C$374,0),1)</f>
        <v>#N/A</v>
      </c>
      <c r="C516" s="150"/>
      <c r="D516" s="150"/>
      <c r="E516" s="388" t="str">
        <f>IFERROR(VLOOKUP($D516,'Состав ВТК'!$B$9:$I$108,8,FALSE),"-")</f>
        <v>-</v>
      </c>
      <c r="F516" s="376" t="str">
        <f>IFERROR(INDEX(Работы!$D$65:$D$374,MATCH(C516,Работы!$C$65:$C$374,0),1),"-")</f>
        <v>-</v>
      </c>
      <c r="G516" s="390"/>
      <c r="H516" s="390"/>
      <c r="K516" s="356"/>
    </row>
    <row r="517" spans="1:11" x14ac:dyDescent="0.25">
      <c r="A517" s="394" t="s">
        <v>17</v>
      </c>
      <c r="B517" s="389" t="e">
        <f>INDEX(Работы!$B$65:$B$374,MATCH(C517,Работы!$C$65:$C$374,0),1)</f>
        <v>#N/A</v>
      </c>
      <c r="C517" s="150"/>
      <c r="D517" s="150"/>
      <c r="E517" s="388" t="str">
        <f>IFERROR(VLOOKUP($D517,'Состав ВТК'!$B$9:$I$108,8,FALSE),"-")</f>
        <v>-</v>
      </c>
      <c r="F517" s="376" t="str">
        <f>IFERROR(INDEX(Работы!$D$65:$D$374,MATCH(C517,Работы!$C$65:$C$374,0),1),"-")</f>
        <v>-</v>
      </c>
      <c r="G517" s="390"/>
      <c r="H517" s="390"/>
      <c r="K517" s="356"/>
    </row>
    <row r="518" spans="1:11" x14ac:dyDescent="0.25">
      <c r="A518" s="394" t="s">
        <v>17</v>
      </c>
      <c r="B518" s="389" t="e">
        <f>INDEX(Работы!$B$65:$B$374,MATCH(C518,Работы!$C$65:$C$374,0),1)</f>
        <v>#N/A</v>
      </c>
      <c r="C518" s="150"/>
      <c r="D518" s="150"/>
      <c r="E518" s="388" t="str">
        <f>IFERROR(VLOOKUP($D518,'Состав ВТК'!$B$9:$I$108,8,FALSE),"-")</f>
        <v>-</v>
      </c>
      <c r="F518" s="376" t="str">
        <f>IFERROR(INDEX(Работы!$D$65:$D$374,MATCH(C518,Работы!$C$65:$C$374,0),1),"-")</f>
        <v>-</v>
      </c>
      <c r="G518" s="390"/>
      <c r="H518" s="390"/>
      <c r="K518" s="356"/>
    </row>
    <row r="519" spans="1:11" x14ac:dyDescent="0.25">
      <c r="A519" s="394" t="s">
        <v>17</v>
      </c>
      <c r="B519" s="389" t="e">
        <f>INDEX(Работы!$B$65:$B$374,MATCH(C519,Работы!$C$65:$C$374,0),1)</f>
        <v>#N/A</v>
      </c>
      <c r="C519" s="150"/>
      <c r="D519" s="150"/>
      <c r="E519" s="388" t="str">
        <f>IFERROR(VLOOKUP($D519,'Состав ВТК'!$B$9:$I$108,8,FALSE),"-")</f>
        <v>-</v>
      </c>
      <c r="F519" s="376" t="str">
        <f>IFERROR(INDEX(Работы!$D$65:$D$374,MATCH(C519,Работы!$C$65:$C$374,0),1),"-")</f>
        <v>-</v>
      </c>
      <c r="G519" s="390"/>
      <c r="H519" s="390"/>
      <c r="K519" s="356"/>
    </row>
    <row r="520" spans="1:11" x14ac:dyDescent="0.25">
      <c r="A520" s="394" t="s">
        <v>17</v>
      </c>
      <c r="B520" s="389" t="e">
        <f>INDEX(Работы!$B$65:$B$374,MATCH(C520,Работы!$C$65:$C$374,0),1)</f>
        <v>#N/A</v>
      </c>
      <c r="C520" s="150"/>
      <c r="D520" s="150"/>
      <c r="E520" s="388" t="str">
        <f>IFERROR(VLOOKUP($D520,'Состав ВТК'!$B$9:$I$108,8,FALSE),"-")</f>
        <v>-</v>
      </c>
      <c r="F520" s="376" t="str">
        <f>IFERROR(INDEX(Работы!$D$65:$D$374,MATCH(C520,Работы!$C$65:$C$374,0),1),"-")</f>
        <v>-</v>
      </c>
      <c r="G520" s="390"/>
      <c r="H520" s="390"/>
      <c r="K520" s="356"/>
    </row>
    <row r="521" spans="1:11" x14ac:dyDescent="0.25">
      <c r="A521" s="394" t="s">
        <v>17</v>
      </c>
      <c r="B521" s="389" t="e">
        <f>INDEX(Работы!$B$65:$B$374,MATCH(C521,Работы!$C$65:$C$374,0),1)</f>
        <v>#N/A</v>
      </c>
      <c r="C521" s="150"/>
      <c r="D521" s="150"/>
      <c r="E521" s="388" t="str">
        <f>IFERROR(VLOOKUP($D521,'Состав ВТК'!$B$9:$I$108,8,FALSE),"-")</f>
        <v>-</v>
      </c>
      <c r="F521" s="376" t="str">
        <f>IFERROR(INDEX(Работы!$D$65:$D$374,MATCH(C521,Работы!$C$65:$C$374,0),1),"-")</f>
        <v>-</v>
      </c>
      <c r="G521" s="390"/>
      <c r="H521" s="390"/>
      <c r="K521" s="356"/>
    </row>
    <row r="522" spans="1:11" x14ac:dyDescent="0.25">
      <c r="A522" s="394" t="s">
        <v>17</v>
      </c>
      <c r="B522" s="389" t="e">
        <f>INDEX(Работы!$B$65:$B$374,MATCH(C522,Работы!$C$65:$C$374,0),1)</f>
        <v>#N/A</v>
      </c>
      <c r="C522" s="150"/>
      <c r="D522" s="150"/>
      <c r="E522" s="388" t="str">
        <f>IFERROR(VLOOKUP($D522,'Состав ВТК'!$B$9:$I$108,8,FALSE),"-")</f>
        <v>-</v>
      </c>
      <c r="F522" s="376" t="str">
        <f>IFERROR(INDEX(Работы!$D$65:$D$374,MATCH(C522,Работы!$C$65:$C$374,0),1),"-")</f>
        <v>-</v>
      </c>
      <c r="G522" s="390"/>
      <c r="H522" s="390"/>
      <c r="K522" s="356"/>
    </row>
    <row r="523" spans="1:11" x14ac:dyDescent="0.25">
      <c r="A523" s="394" t="s">
        <v>17</v>
      </c>
      <c r="B523" s="389" t="e">
        <f>INDEX(Работы!$B$65:$B$374,MATCH(C523,Работы!$C$65:$C$374,0),1)</f>
        <v>#N/A</v>
      </c>
      <c r="C523" s="150"/>
      <c r="D523" s="150"/>
      <c r="E523" s="388" t="str">
        <f>IFERROR(VLOOKUP($D523,'Состав ВТК'!$B$9:$I$108,8,FALSE),"-")</f>
        <v>-</v>
      </c>
      <c r="F523" s="376" t="str">
        <f>IFERROR(INDEX(Работы!$D$65:$D$374,MATCH(C523,Работы!$C$65:$C$374,0),1),"-")</f>
        <v>-</v>
      </c>
      <c r="G523" s="390"/>
      <c r="H523" s="390"/>
      <c r="K523" s="356"/>
    </row>
    <row r="524" spans="1:11" x14ac:dyDescent="0.25">
      <c r="A524" s="394" t="s">
        <v>17</v>
      </c>
      <c r="B524" s="389" t="e">
        <f>INDEX(Работы!$B$65:$B$374,MATCH(C524,Работы!$C$65:$C$374,0),1)</f>
        <v>#N/A</v>
      </c>
      <c r="C524" s="150"/>
      <c r="D524" s="150"/>
      <c r="E524" s="388" t="str">
        <f>IFERROR(VLOOKUP($D524,'Состав ВТК'!$B$9:$I$108,8,FALSE),"-")</f>
        <v>-</v>
      </c>
      <c r="F524" s="376" t="str">
        <f>IFERROR(INDEX(Работы!$D$65:$D$374,MATCH(C524,Работы!$C$65:$C$374,0),1),"-")</f>
        <v>-</v>
      </c>
      <c r="G524" s="390"/>
      <c r="H524" s="390"/>
      <c r="K524" s="356"/>
    </row>
    <row r="525" spans="1:11" x14ac:dyDescent="0.25">
      <c r="A525" s="394" t="s">
        <v>17</v>
      </c>
      <c r="B525" s="389" t="e">
        <f>INDEX(Работы!$B$65:$B$374,MATCH(C525,Работы!$C$65:$C$374,0),1)</f>
        <v>#N/A</v>
      </c>
      <c r="C525" s="150"/>
      <c r="D525" s="150"/>
      <c r="E525" s="388" t="str">
        <f>IFERROR(VLOOKUP($D525,'Состав ВТК'!$B$9:$I$108,8,FALSE),"-")</f>
        <v>-</v>
      </c>
      <c r="F525" s="376" t="str">
        <f>IFERROR(INDEX(Работы!$D$65:$D$374,MATCH(C525,Работы!$C$65:$C$374,0),1),"-")</f>
        <v>-</v>
      </c>
      <c r="G525" s="390"/>
      <c r="H525" s="390"/>
      <c r="K525" s="356"/>
    </row>
    <row r="526" spans="1:11" x14ac:dyDescent="0.25">
      <c r="A526" s="394" t="s">
        <v>17</v>
      </c>
      <c r="B526" s="389" t="e">
        <f>INDEX(Работы!$B$65:$B$374,MATCH(C526,Работы!$C$65:$C$374,0),1)</f>
        <v>#N/A</v>
      </c>
      <c r="C526" s="150"/>
      <c r="D526" s="150"/>
      <c r="E526" s="388" t="str">
        <f>IFERROR(VLOOKUP($D526,'Состав ВТК'!$B$9:$I$108,8,FALSE),"-")</f>
        <v>-</v>
      </c>
      <c r="F526" s="376" t="str">
        <f>IFERROR(INDEX(Работы!$D$65:$D$374,MATCH(C526,Работы!$C$65:$C$374,0),1),"-")</f>
        <v>-</v>
      </c>
      <c r="G526" s="390"/>
      <c r="H526" s="390"/>
      <c r="K526" s="356"/>
    </row>
    <row r="527" spans="1:11" x14ac:dyDescent="0.25">
      <c r="A527" s="394" t="s">
        <v>17</v>
      </c>
      <c r="B527" s="389" t="e">
        <f>INDEX(Работы!$B$65:$B$374,MATCH(C527,Работы!$C$65:$C$374,0),1)</f>
        <v>#N/A</v>
      </c>
      <c r="C527" s="150"/>
      <c r="D527" s="150"/>
      <c r="E527" s="388" t="str">
        <f>IFERROR(VLOOKUP($D527,'Состав ВТК'!$B$9:$I$108,8,FALSE),"-")</f>
        <v>-</v>
      </c>
      <c r="F527" s="376" t="str">
        <f>IFERROR(INDEX(Работы!$D$65:$D$374,MATCH(C527,Работы!$C$65:$C$374,0),1),"-")</f>
        <v>-</v>
      </c>
      <c r="G527" s="390"/>
      <c r="H527" s="390"/>
      <c r="K527" s="356"/>
    </row>
    <row r="528" spans="1:11" x14ac:dyDescent="0.25">
      <c r="A528" s="394" t="s">
        <v>17</v>
      </c>
      <c r="B528" s="389" t="e">
        <f>INDEX(Работы!$B$65:$B$374,MATCH(C528,Работы!$C$65:$C$374,0),1)</f>
        <v>#N/A</v>
      </c>
      <c r="C528" s="150"/>
      <c r="D528" s="150"/>
      <c r="E528" s="388" t="str">
        <f>IFERROR(VLOOKUP($D528,'Состав ВТК'!$B$9:$I$108,8,FALSE),"-")</f>
        <v>-</v>
      </c>
      <c r="F528" s="376" t="str">
        <f>IFERROR(INDEX(Работы!$D$65:$D$374,MATCH(C528,Работы!$C$65:$C$374,0),1),"-")</f>
        <v>-</v>
      </c>
      <c r="G528" s="390"/>
      <c r="H528" s="390"/>
      <c r="K528" s="356"/>
    </row>
    <row r="529" spans="1:11" x14ac:dyDescent="0.25">
      <c r="A529" s="394" t="s">
        <v>17</v>
      </c>
      <c r="B529" s="389" t="e">
        <f>INDEX(Работы!$B$65:$B$374,MATCH(C529,Работы!$C$65:$C$374,0),1)</f>
        <v>#N/A</v>
      </c>
      <c r="C529" s="150"/>
      <c r="D529" s="150"/>
      <c r="E529" s="388" t="str">
        <f>IFERROR(VLOOKUP($D529,'Состав ВТК'!$B$9:$I$108,8,FALSE),"-")</f>
        <v>-</v>
      </c>
      <c r="F529" s="376" t="str">
        <f>IFERROR(INDEX(Работы!$D$65:$D$374,MATCH(C529,Работы!$C$65:$C$374,0),1),"-")</f>
        <v>-</v>
      </c>
      <c r="G529" s="390"/>
      <c r="H529" s="390"/>
      <c r="K529" s="356"/>
    </row>
    <row r="530" spans="1:11" x14ac:dyDescent="0.25">
      <c r="A530" s="394" t="s">
        <v>17</v>
      </c>
      <c r="B530" s="389" t="e">
        <f>INDEX(Работы!$B$65:$B$374,MATCH(C530,Работы!$C$65:$C$374,0),1)</f>
        <v>#N/A</v>
      </c>
      <c r="C530" s="150"/>
      <c r="D530" s="150"/>
      <c r="E530" s="388" t="str">
        <f>IFERROR(VLOOKUP($D530,'Состав ВТК'!$B$9:$I$108,8,FALSE),"-")</f>
        <v>-</v>
      </c>
      <c r="F530" s="376" t="str">
        <f>IFERROR(INDEX(Работы!$D$65:$D$374,MATCH(C530,Работы!$C$65:$C$374,0),1),"-")</f>
        <v>-</v>
      </c>
      <c r="G530" s="390"/>
      <c r="H530" s="390"/>
      <c r="K530" s="356"/>
    </row>
    <row r="531" spans="1:11" x14ac:dyDescent="0.25">
      <c r="A531" s="394" t="s">
        <v>17</v>
      </c>
      <c r="B531" s="389" t="e">
        <f>INDEX(Работы!$B$65:$B$374,MATCH(C531,Работы!$C$65:$C$374,0),1)</f>
        <v>#N/A</v>
      </c>
      <c r="C531" s="150"/>
      <c r="D531" s="150"/>
      <c r="E531" s="388" t="str">
        <f>IFERROR(VLOOKUP($D531,'Состав ВТК'!$B$9:$I$108,8,FALSE),"-")</f>
        <v>-</v>
      </c>
      <c r="F531" s="376" t="str">
        <f>IFERROR(INDEX(Работы!$D$65:$D$374,MATCH(C531,Работы!$C$65:$C$374,0),1),"-")</f>
        <v>-</v>
      </c>
      <c r="G531" s="390"/>
      <c r="H531" s="390"/>
      <c r="K531" s="356"/>
    </row>
    <row r="532" spans="1:11" x14ac:dyDescent="0.25">
      <c r="A532" s="394" t="s">
        <v>17</v>
      </c>
      <c r="B532" s="389" t="e">
        <f>INDEX(Работы!$B$65:$B$374,MATCH(C532,Работы!$C$65:$C$374,0),1)</f>
        <v>#N/A</v>
      </c>
      <c r="C532" s="150"/>
      <c r="D532" s="150"/>
      <c r="E532" s="388" t="str">
        <f>IFERROR(VLOOKUP($D532,'Состав ВТК'!$B$9:$I$108,8,FALSE),"-")</f>
        <v>-</v>
      </c>
      <c r="F532" s="376" t="str">
        <f>IFERROR(INDEX(Работы!$D$65:$D$374,MATCH(C532,Работы!$C$65:$C$374,0),1),"-")</f>
        <v>-</v>
      </c>
      <c r="G532" s="390"/>
      <c r="H532" s="390"/>
      <c r="K532" s="356"/>
    </row>
    <row r="533" spans="1:11" x14ac:dyDescent="0.25">
      <c r="A533" s="394" t="s">
        <v>17</v>
      </c>
      <c r="B533" s="389" t="e">
        <f>INDEX(Работы!$B$65:$B$374,MATCH(C533,Работы!$C$65:$C$374,0),1)</f>
        <v>#N/A</v>
      </c>
      <c r="C533" s="150"/>
      <c r="D533" s="150"/>
      <c r="E533" s="388" t="str">
        <f>IFERROR(VLOOKUP($D533,'Состав ВТК'!$B$9:$I$108,8,FALSE),"-")</f>
        <v>-</v>
      </c>
      <c r="F533" s="376" t="str">
        <f>IFERROR(INDEX(Работы!$D$65:$D$374,MATCH(C533,Работы!$C$65:$C$374,0),1),"-")</f>
        <v>-</v>
      </c>
      <c r="G533" s="390"/>
      <c r="H533" s="390"/>
      <c r="K533" s="356"/>
    </row>
    <row r="534" spans="1:11" x14ac:dyDescent="0.25">
      <c r="A534" s="394" t="s">
        <v>17</v>
      </c>
      <c r="B534" s="389" t="e">
        <f>INDEX(Работы!$B$65:$B$374,MATCH(C534,Работы!$C$65:$C$374,0),1)</f>
        <v>#N/A</v>
      </c>
      <c r="C534" s="150"/>
      <c r="D534" s="150"/>
      <c r="E534" s="388" t="str">
        <f>IFERROR(VLOOKUP($D534,'Состав ВТК'!$B$9:$I$108,8,FALSE),"-")</f>
        <v>-</v>
      </c>
      <c r="F534" s="376" t="str">
        <f>IFERROR(INDEX(Работы!$D$65:$D$374,MATCH(C534,Работы!$C$65:$C$374,0),1),"-")</f>
        <v>-</v>
      </c>
      <c r="G534" s="390"/>
      <c r="H534" s="390"/>
      <c r="K534" s="356"/>
    </row>
    <row r="535" spans="1:11" x14ac:dyDescent="0.25">
      <c r="A535" s="394" t="s">
        <v>17</v>
      </c>
      <c r="B535" s="389" t="e">
        <f>INDEX(Работы!$B$65:$B$374,MATCH(C535,Работы!$C$65:$C$374,0),1)</f>
        <v>#N/A</v>
      </c>
      <c r="C535" s="150"/>
      <c r="D535" s="150"/>
      <c r="E535" s="388" t="str">
        <f>IFERROR(VLOOKUP($D535,'Состав ВТК'!$B$9:$I$108,8,FALSE),"-")</f>
        <v>-</v>
      </c>
      <c r="F535" s="376" t="str">
        <f>IFERROR(INDEX(Работы!$D$65:$D$374,MATCH(C535,Работы!$C$65:$C$374,0),1),"-")</f>
        <v>-</v>
      </c>
      <c r="G535" s="390"/>
      <c r="H535" s="390"/>
      <c r="K535" s="356"/>
    </row>
    <row r="536" spans="1:11" x14ac:dyDescent="0.25">
      <c r="A536" s="394" t="s">
        <v>17</v>
      </c>
      <c r="B536" s="389" t="e">
        <f>INDEX(Работы!$B$65:$B$374,MATCH(C536,Работы!$C$65:$C$374,0),1)</f>
        <v>#N/A</v>
      </c>
      <c r="C536" s="150"/>
      <c r="D536" s="150"/>
      <c r="E536" s="388" t="str">
        <f>IFERROR(VLOOKUP($D536,'Состав ВТК'!$B$9:$I$108,8,FALSE),"-")</f>
        <v>-</v>
      </c>
      <c r="F536" s="376" t="str">
        <f>IFERROR(INDEX(Работы!$D$65:$D$374,MATCH(C536,Работы!$C$65:$C$374,0),1),"-")</f>
        <v>-</v>
      </c>
      <c r="G536" s="390"/>
      <c r="H536" s="390"/>
      <c r="K536" s="356"/>
    </row>
    <row r="537" spans="1:11" x14ac:dyDescent="0.25">
      <c r="A537" s="394" t="s">
        <v>17</v>
      </c>
      <c r="B537" s="389" t="e">
        <f>INDEX(Работы!$B$65:$B$374,MATCH(C537,Работы!$C$65:$C$374,0),1)</f>
        <v>#N/A</v>
      </c>
      <c r="C537" s="150"/>
      <c r="D537" s="150"/>
      <c r="E537" s="388" t="str">
        <f>IFERROR(VLOOKUP($D537,'Состав ВТК'!$B$9:$I$108,8,FALSE),"-")</f>
        <v>-</v>
      </c>
      <c r="F537" s="376" t="str">
        <f>IFERROR(INDEX(Работы!$D$65:$D$374,MATCH(C537,Работы!$C$65:$C$374,0),1),"-")</f>
        <v>-</v>
      </c>
      <c r="G537" s="390"/>
      <c r="H537" s="390"/>
      <c r="K537" s="356"/>
    </row>
    <row r="538" spans="1:11" x14ac:dyDescent="0.25">
      <c r="A538" s="394" t="s">
        <v>17</v>
      </c>
      <c r="B538" s="389" t="e">
        <f>INDEX(Работы!$B$65:$B$374,MATCH(C538,Работы!$C$65:$C$374,0),1)</f>
        <v>#N/A</v>
      </c>
      <c r="C538" s="150"/>
      <c r="D538" s="150"/>
      <c r="E538" s="388" t="str">
        <f>IFERROR(VLOOKUP($D538,'Состав ВТК'!$B$9:$I$108,8,FALSE),"-")</f>
        <v>-</v>
      </c>
      <c r="F538" s="376" t="str">
        <f>IFERROR(INDEX(Работы!$D$65:$D$374,MATCH(C538,Работы!$C$65:$C$374,0),1),"-")</f>
        <v>-</v>
      </c>
      <c r="G538" s="390"/>
      <c r="H538" s="390"/>
      <c r="K538" s="356"/>
    </row>
    <row r="539" spans="1:11" x14ac:dyDescent="0.25">
      <c r="A539" s="394" t="s">
        <v>17</v>
      </c>
      <c r="B539" s="389" t="e">
        <f>INDEX(Работы!$B$65:$B$374,MATCH(C539,Работы!$C$65:$C$374,0),1)</f>
        <v>#N/A</v>
      </c>
      <c r="C539" s="150"/>
      <c r="D539" s="150"/>
      <c r="E539" s="388" t="str">
        <f>IFERROR(VLOOKUP($D539,'Состав ВТК'!$B$9:$I$108,8,FALSE),"-")</f>
        <v>-</v>
      </c>
      <c r="F539" s="376" t="str">
        <f>IFERROR(INDEX(Работы!$D$65:$D$374,MATCH(C539,Работы!$C$65:$C$374,0),1),"-")</f>
        <v>-</v>
      </c>
      <c r="G539" s="390"/>
      <c r="H539" s="390"/>
      <c r="K539" s="356"/>
    </row>
    <row r="540" spans="1:11" x14ac:dyDescent="0.25">
      <c r="A540" s="394" t="s">
        <v>17</v>
      </c>
      <c r="B540" s="389" t="e">
        <f>INDEX(Работы!$B$65:$B$374,MATCH(C540,Работы!$C$65:$C$374,0),1)</f>
        <v>#N/A</v>
      </c>
      <c r="C540" s="150"/>
      <c r="D540" s="150"/>
      <c r="E540" s="388" t="str">
        <f>IFERROR(VLOOKUP($D540,'Состав ВТК'!$B$9:$I$108,8,FALSE),"-")</f>
        <v>-</v>
      </c>
      <c r="F540" s="376" t="str">
        <f>IFERROR(INDEX(Работы!$D$65:$D$374,MATCH(C540,Работы!$C$65:$C$374,0),1),"-")</f>
        <v>-</v>
      </c>
      <c r="G540" s="390"/>
      <c r="H540" s="390"/>
      <c r="K540" s="356"/>
    </row>
    <row r="541" spans="1:11" x14ac:dyDescent="0.25">
      <c r="A541" s="394" t="s">
        <v>17</v>
      </c>
      <c r="B541" s="389" t="e">
        <f>INDEX(Работы!$B$65:$B$374,MATCH(C541,Работы!$C$65:$C$374,0),1)</f>
        <v>#N/A</v>
      </c>
      <c r="C541" s="150"/>
      <c r="D541" s="150"/>
      <c r="E541" s="388" t="str">
        <f>IFERROR(VLOOKUP($D541,'Состав ВТК'!$B$9:$I$108,8,FALSE),"-")</f>
        <v>-</v>
      </c>
      <c r="F541" s="376" t="str">
        <f>IFERROR(INDEX(Работы!$D$65:$D$374,MATCH(C541,Работы!$C$65:$C$374,0),1),"-")</f>
        <v>-</v>
      </c>
      <c r="G541" s="390"/>
      <c r="H541" s="390"/>
      <c r="K541" s="356"/>
    </row>
    <row r="542" spans="1:11" x14ac:dyDescent="0.25">
      <c r="A542" s="394" t="s">
        <v>17</v>
      </c>
      <c r="B542" s="389" t="e">
        <f>INDEX(Работы!$B$65:$B$374,MATCH(C542,Работы!$C$65:$C$374,0),1)</f>
        <v>#N/A</v>
      </c>
      <c r="C542" s="150"/>
      <c r="D542" s="150"/>
      <c r="E542" s="388" t="str">
        <f>IFERROR(VLOOKUP($D542,'Состав ВТК'!$B$9:$I$108,8,FALSE),"-")</f>
        <v>-</v>
      </c>
      <c r="F542" s="376" t="str">
        <f>IFERROR(INDEX(Работы!$D$65:$D$374,MATCH(C542,Работы!$C$65:$C$374,0),1),"-")</f>
        <v>-</v>
      </c>
      <c r="G542" s="390"/>
      <c r="H542" s="390"/>
      <c r="K542" s="356"/>
    </row>
    <row r="543" spans="1:11" x14ac:dyDescent="0.25">
      <c r="A543" s="394" t="s">
        <v>17</v>
      </c>
      <c r="B543" s="389" t="e">
        <f>INDEX(Работы!$B$65:$B$374,MATCH(C543,Работы!$C$65:$C$374,0),1)</f>
        <v>#N/A</v>
      </c>
      <c r="C543" s="150"/>
      <c r="D543" s="150"/>
      <c r="E543" s="388" t="str">
        <f>IFERROR(VLOOKUP($D543,'Состав ВТК'!$B$9:$I$108,8,FALSE),"-")</f>
        <v>-</v>
      </c>
      <c r="F543" s="376" t="str">
        <f>IFERROR(INDEX(Работы!$D$65:$D$374,MATCH(C543,Работы!$C$65:$C$374,0),1),"-")</f>
        <v>-</v>
      </c>
      <c r="G543" s="390"/>
      <c r="H543" s="390"/>
      <c r="K543" s="356"/>
    </row>
    <row r="544" spans="1:11" x14ac:dyDescent="0.25">
      <c r="A544" s="394" t="s">
        <v>17</v>
      </c>
      <c r="B544" s="389" t="e">
        <f>INDEX(Работы!$B$65:$B$374,MATCH(C544,Работы!$C$65:$C$374,0),1)</f>
        <v>#N/A</v>
      </c>
      <c r="C544" s="150"/>
      <c r="D544" s="150"/>
      <c r="E544" s="388" t="str">
        <f>IFERROR(VLOOKUP($D544,'Состав ВТК'!$B$9:$I$108,8,FALSE),"-")</f>
        <v>-</v>
      </c>
      <c r="F544" s="376" t="str">
        <f>IFERROR(INDEX(Работы!$D$65:$D$374,MATCH(C544,Работы!$C$65:$C$374,0),1),"-")</f>
        <v>-</v>
      </c>
      <c r="G544" s="390"/>
      <c r="H544" s="390"/>
      <c r="K544" s="356"/>
    </row>
    <row r="545" spans="1:11" x14ac:dyDescent="0.25">
      <c r="A545" s="394" t="s">
        <v>17</v>
      </c>
      <c r="B545" s="389" t="e">
        <f>INDEX(Работы!$B$65:$B$374,MATCH(C545,Работы!$C$65:$C$374,0),1)</f>
        <v>#N/A</v>
      </c>
      <c r="C545" s="150"/>
      <c r="D545" s="150"/>
      <c r="E545" s="388" t="str">
        <f>IFERROR(VLOOKUP($D545,'Состав ВТК'!$B$9:$I$108,8,FALSE),"-")</f>
        <v>-</v>
      </c>
      <c r="F545" s="376" t="str">
        <f>IFERROR(INDEX(Работы!$D$65:$D$374,MATCH(C545,Работы!$C$65:$C$374,0),1),"-")</f>
        <v>-</v>
      </c>
      <c r="G545" s="390"/>
      <c r="H545" s="390"/>
      <c r="K545" s="356"/>
    </row>
    <row r="546" spans="1:11" x14ac:dyDescent="0.25">
      <c r="A546" s="394" t="s">
        <v>17</v>
      </c>
      <c r="B546" s="389" t="e">
        <f>INDEX(Работы!$B$65:$B$374,MATCH(C546,Работы!$C$65:$C$374,0),1)</f>
        <v>#N/A</v>
      </c>
      <c r="C546" s="150"/>
      <c r="D546" s="150"/>
      <c r="E546" s="388" t="str">
        <f>IFERROR(VLOOKUP($D546,'Состав ВТК'!$B$9:$I$108,8,FALSE),"-")</f>
        <v>-</v>
      </c>
      <c r="F546" s="376" t="str">
        <f>IFERROR(INDEX(Работы!$D$65:$D$374,MATCH(C546,Работы!$C$65:$C$374,0),1),"-")</f>
        <v>-</v>
      </c>
      <c r="G546" s="390"/>
      <c r="H546" s="390"/>
      <c r="K546" s="356"/>
    </row>
    <row r="547" spans="1:11" x14ac:dyDescent="0.25">
      <c r="A547" s="394" t="s">
        <v>17</v>
      </c>
      <c r="B547" s="389" t="e">
        <f>INDEX(Работы!$B$65:$B$374,MATCH(C547,Работы!$C$65:$C$374,0),1)</f>
        <v>#N/A</v>
      </c>
      <c r="C547" s="150"/>
      <c r="D547" s="150"/>
      <c r="E547" s="388" t="str">
        <f>IFERROR(VLOOKUP($D547,'Состав ВТК'!$B$9:$I$108,8,FALSE),"-")</f>
        <v>-</v>
      </c>
      <c r="F547" s="376" t="str">
        <f>IFERROR(INDEX(Работы!$D$65:$D$374,MATCH(C547,Работы!$C$65:$C$374,0),1),"-")</f>
        <v>-</v>
      </c>
      <c r="G547" s="390"/>
      <c r="H547" s="390"/>
      <c r="K547" s="356"/>
    </row>
    <row r="548" spans="1:11" x14ac:dyDescent="0.25">
      <c r="A548" s="394" t="s">
        <v>17</v>
      </c>
      <c r="B548" s="389" t="e">
        <f>INDEX(Работы!$B$65:$B$374,MATCH(C548,Работы!$C$65:$C$374,0),1)</f>
        <v>#N/A</v>
      </c>
      <c r="C548" s="150"/>
      <c r="D548" s="150"/>
      <c r="E548" s="388" t="str">
        <f>IFERROR(VLOOKUP($D548,'Состав ВТК'!$B$9:$I$108,8,FALSE),"-")</f>
        <v>-</v>
      </c>
      <c r="F548" s="376" t="str">
        <f>IFERROR(INDEX(Работы!$D$65:$D$374,MATCH(C548,Работы!$C$65:$C$374,0),1),"-")</f>
        <v>-</v>
      </c>
      <c r="G548" s="390"/>
      <c r="H548" s="390"/>
      <c r="K548" s="356"/>
    </row>
    <row r="549" spans="1:11" x14ac:dyDescent="0.25">
      <c r="A549" s="394" t="s">
        <v>17</v>
      </c>
      <c r="B549" s="389" t="e">
        <f>INDEX(Работы!$B$65:$B$374,MATCH(C549,Работы!$C$65:$C$374,0),1)</f>
        <v>#N/A</v>
      </c>
      <c r="C549" s="150"/>
      <c r="D549" s="150"/>
      <c r="E549" s="388" t="str">
        <f>IFERROR(VLOOKUP($D549,'Состав ВТК'!$B$9:$I$108,8,FALSE),"-")</f>
        <v>-</v>
      </c>
      <c r="F549" s="376" t="str">
        <f>IFERROR(INDEX(Работы!$D$65:$D$374,MATCH(C549,Работы!$C$65:$C$374,0),1),"-")</f>
        <v>-</v>
      </c>
      <c r="G549" s="390"/>
      <c r="H549" s="390"/>
      <c r="K549" s="356"/>
    </row>
    <row r="550" spans="1:11" x14ac:dyDescent="0.25">
      <c r="A550" s="394" t="s">
        <v>17</v>
      </c>
      <c r="B550" s="389" t="e">
        <f>INDEX(Работы!$B$65:$B$374,MATCH(C550,Работы!$C$65:$C$374,0),1)</f>
        <v>#N/A</v>
      </c>
      <c r="C550" s="150"/>
      <c r="D550" s="150"/>
      <c r="E550" s="388" t="str">
        <f>IFERROR(VLOOKUP($D550,'Состав ВТК'!$B$9:$I$108,8,FALSE),"-")</f>
        <v>-</v>
      </c>
      <c r="F550" s="376" t="str">
        <f>IFERROR(INDEX(Работы!$D$65:$D$374,MATCH(C550,Работы!$C$65:$C$374,0),1),"-")</f>
        <v>-</v>
      </c>
      <c r="G550" s="390"/>
      <c r="H550" s="390"/>
      <c r="K550" s="356"/>
    </row>
    <row r="551" spans="1:11" x14ac:dyDescent="0.25">
      <c r="A551" s="394" t="s">
        <v>17</v>
      </c>
      <c r="B551" s="389" t="e">
        <f>INDEX(Работы!$B$65:$B$374,MATCH(C551,Работы!$C$65:$C$374,0),1)</f>
        <v>#N/A</v>
      </c>
      <c r="C551" s="150"/>
      <c r="D551" s="150"/>
      <c r="E551" s="388" t="str">
        <f>IFERROR(VLOOKUP($D551,'Состав ВТК'!$B$9:$I$108,8,FALSE),"-")</f>
        <v>-</v>
      </c>
      <c r="F551" s="376" t="str">
        <f>IFERROR(INDEX(Работы!$D$65:$D$374,MATCH(C551,Работы!$C$65:$C$374,0),1),"-")</f>
        <v>-</v>
      </c>
      <c r="G551" s="390"/>
      <c r="H551" s="390"/>
      <c r="K551" s="356"/>
    </row>
    <row r="552" spans="1:11" x14ac:dyDescent="0.25">
      <c r="A552" s="394" t="s">
        <v>17</v>
      </c>
      <c r="B552" s="389" t="e">
        <f>INDEX(Работы!$B$65:$B$374,MATCH(C552,Работы!$C$65:$C$374,0),1)</f>
        <v>#N/A</v>
      </c>
      <c r="C552" s="150"/>
      <c r="D552" s="150"/>
      <c r="E552" s="388" t="str">
        <f>IFERROR(VLOOKUP($D552,'Состав ВТК'!$B$9:$I$108,8,FALSE),"-")</f>
        <v>-</v>
      </c>
      <c r="F552" s="376" t="str">
        <f>IFERROR(INDEX(Работы!$D$65:$D$374,MATCH(C552,Работы!$C$65:$C$374,0),1),"-")</f>
        <v>-</v>
      </c>
      <c r="G552" s="390"/>
      <c r="H552" s="390"/>
      <c r="K552" s="356"/>
    </row>
    <row r="553" spans="1:11" x14ac:dyDescent="0.25">
      <c r="A553" s="394" t="s">
        <v>17</v>
      </c>
      <c r="B553" s="389" t="e">
        <f>INDEX(Работы!$B$65:$B$374,MATCH(C553,Работы!$C$65:$C$374,0),1)</f>
        <v>#N/A</v>
      </c>
      <c r="C553" s="150"/>
      <c r="D553" s="150"/>
      <c r="E553" s="388" t="str">
        <f>IFERROR(VLOOKUP($D553,'Состав ВТК'!$B$9:$I$108,8,FALSE),"-")</f>
        <v>-</v>
      </c>
      <c r="F553" s="376" t="str">
        <f>IFERROR(INDEX(Работы!$D$65:$D$374,MATCH(C553,Работы!$C$65:$C$374,0),1),"-")</f>
        <v>-</v>
      </c>
      <c r="G553" s="390"/>
      <c r="H553" s="390"/>
      <c r="K553" s="356"/>
    </row>
    <row r="554" spans="1:11" x14ac:dyDescent="0.25">
      <c r="A554" s="394" t="s">
        <v>17</v>
      </c>
      <c r="B554" s="389" t="e">
        <f>INDEX(Работы!$B$65:$B$374,MATCH(C554,Работы!$C$65:$C$374,0),1)</f>
        <v>#N/A</v>
      </c>
      <c r="C554" s="150"/>
      <c r="D554" s="150"/>
      <c r="E554" s="388" t="str">
        <f>IFERROR(VLOOKUP($D554,'Состав ВТК'!$B$9:$I$108,8,FALSE),"-")</f>
        <v>-</v>
      </c>
      <c r="F554" s="376" t="str">
        <f>IFERROR(INDEX(Работы!$D$65:$D$374,MATCH(C554,Работы!$C$65:$C$374,0),1),"-")</f>
        <v>-</v>
      </c>
      <c r="G554" s="390"/>
      <c r="H554" s="390"/>
      <c r="K554" s="356"/>
    </row>
    <row r="555" spans="1:11" x14ac:dyDescent="0.25">
      <c r="A555" s="394" t="s">
        <v>17</v>
      </c>
      <c r="B555" s="389" t="e">
        <f>INDEX(Работы!$B$65:$B$374,MATCH(C555,Работы!$C$65:$C$374,0),1)</f>
        <v>#N/A</v>
      </c>
      <c r="C555" s="150"/>
      <c r="D555" s="150"/>
      <c r="E555" s="388" t="str">
        <f>IFERROR(VLOOKUP($D555,'Состав ВТК'!$B$9:$I$108,8,FALSE),"-")</f>
        <v>-</v>
      </c>
      <c r="F555" s="376" t="str">
        <f>IFERROR(INDEX(Работы!$D$65:$D$374,MATCH(C555,Работы!$C$65:$C$374,0),1),"-")</f>
        <v>-</v>
      </c>
      <c r="G555" s="390"/>
      <c r="H555" s="390"/>
      <c r="K555" s="356"/>
    </row>
    <row r="556" spans="1:11" x14ac:dyDescent="0.25">
      <c r="A556" s="394" t="s">
        <v>17</v>
      </c>
      <c r="B556" s="389" t="e">
        <f>INDEX(Работы!$B$65:$B$374,MATCH(C556,Работы!$C$65:$C$374,0),1)</f>
        <v>#N/A</v>
      </c>
      <c r="C556" s="150"/>
      <c r="D556" s="150"/>
      <c r="E556" s="388" t="str">
        <f>IFERROR(VLOOKUP($D556,'Состав ВТК'!$B$9:$I$108,8,FALSE),"-")</f>
        <v>-</v>
      </c>
      <c r="F556" s="376" t="str">
        <f>IFERROR(INDEX(Работы!$D$65:$D$374,MATCH(C556,Работы!$C$65:$C$374,0),1),"-")</f>
        <v>-</v>
      </c>
      <c r="G556" s="390"/>
      <c r="H556" s="390"/>
      <c r="K556" s="356"/>
    </row>
    <row r="557" spans="1:11" x14ac:dyDescent="0.25">
      <c r="A557" s="394" t="s">
        <v>17</v>
      </c>
      <c r="B557" s="389" t="e">
        <f>INDEX(Работы!$B$65:$B$374,MATCH(C557,Работы!$C$65:$C$374,0),1)</f>
        <v>#N/A</v>
      </c>
      <c r="C557" s="150"/>
      <c r="D557" s="150"/>
      <c r="E557" s="388" t="str">
        <f>IFERROR(VLOOKUP($D557,'Состав ВТК'!$B$9:$I$108,8,FALSE),"-")</f>
        <v>-</v>
      </c>
      <c r="F557" s="376" t="str">
        <f>IFERROR(INDEX(Работы!$D$65:$D$374,MATCH(C557,Работы!$C$65:$C$374,0),1),"-")</f>
        <v>-</v>
      </c>
      <c r="G557" s="390"/>
      <c r="H557" s="390"/>
      <c r="K557" s="356"/>
    </row>
    <row r="558" spans="1:11" x14ac:dyDescent="0.25">
      <c r="A558" s="394" t="s">
        <v>17</v>
      </c>
      <c r="B558" s="389" t="e">
        <f>INDEX(Работы!$B$65:$B$374,MATCH(C558,Работы!$C$65:$C$374,0),1)</f>
        <v>#N/A</v>
      </c>
      <c r="C558" s="150"/>
      <c r="D558" s="150"/>
      <c r="E558" s="388" t="str">
        <f>IFERROR(VLOOKUP($D558,'Состав ВТК'!$B$9:$I$108,8,FALSE),"-")</f>
        <v>-</v>
      </c>
      <c r="F558" s="376" t="str">
        <f>IFERROR(INDEX(Работы!$D$65:$D$374,MATCH(C558,Работы!$C$65:$C$374,0),1),"-")</f>
        <v>-</v>
      </c>
      <c r="G558" s="390"/>
      <c r="H558" s="390"/>
      <c r="K558" s="356"/>
    </row>
    <row r="559" spans="1:11" x14ac:dyDescent="0.25">
      <c r="A559" s="394" t="s">
        <v>17</v>
      </c>
      <c r="B559" s="389" t="e">
        <f>INDEX(Работы!$B$65:$B$374,MATCH(C559,Работы!$C$65:$C$374,0),1)</f>
        <v>#N/A</v>
      </c>
      <c r="C559" s="150"/>
      <c r="D559" s="150"/>
      <c r="E559" s="388" t="str">
        <f>IFERROR(VLOOKUP($D559,'Состав ВТК'!$B$9:$I$108,8,FALSE),"-")</f>
        <v>-</v>
      </c>
      <c r="F559" s="376" t="str">
        <f>IFERROR(INDEX(Работы!$D$65:$D$374,MATCH(C559,Работы!$C$65:$C$374,0),1),"-")</f>
        <v>-</v>
      </c>
      <c r="G559" s="390"/>
      <c r="H559" s="390"/>
      <c r="K559" s="356"/>
    </row>
    <row r="560" spans="1:11" x14ac:dyDescent="0.25">
      <c r="A560" s="394" t="s">
        <v>17</v>
      </c>
      <c r="B560" s="389" t="e">
        <f>INDEX(Работы!$B$65:$B$374,MATCH(C560,Работы!$C$65:$C$374,0),1)</f>
        <v>#N/A</v>
      </c>
      <c r="C560" s="150"/>
      <c r="D560" s="150"/>
      <c r="E560" s="388" t="str">
        <f>IFERROR(VLOOKUP($D560,'Состав ВТК'!$B$9:$I$108,8,FALSE),"-")</f>
        <v>-</v>
      </c>
      <c r="F560" s="376" t="str">
        <f>IFERROR(INDEX(Работы!$D$65:$D$374,MATCH(C560,Работы!$C$65:$C$374,0),1),"-")</f>
        <v>-</v>
      </c>
      <c r="G560" s="390"/>
      <c r="H560" s="390"/>
      <c r="K560" s="356"/>
    </row>
    <row r="561" spans="1:11" x14ac:dyDescent="0.25">
      <c r="A561" s="394" t="s">
        <v>17</v>
      </c>
      <c r="B561" s="389" t="e">
        <f>INDEX(Работы!$B$65:$B$374,MATCH(C561,Работы!$C$65:$C$374,0),1)</f>
        <v>#N/A</v>
      </c>
      <c r="C561" s="150"/>
      <c r="D561" s="150"/>
      <c r="E561" s="388" t="str">
        <f>IFERROR(VLOOKUP($D561,'Состав ВТК'!$B$9:$I$108,8,FALSE),"-")</f>
        <v>-</v>
      </c>
      <c r="F561" s="376" t="str">
        <f>IFERROR(INDEX(Работы!$D$65:$D$374,MATCH(C561,Работы!$C$65:$C$374,0),1),"-")</f>
        <v>-</v>
      </c>
      <c r="G561" s="390"/>
      <c r="H561" s="390"/>
      <c r="K561" s="356"/>
    </row>
    <row r="562" spans="1:11" x14ac:dyDescent="0.25">
      <c r="A562" s="394" t="s">
        <v>17</v>
      </c>
      <c r="B562" s="389" t="e">
        <f>INDEX(Работы!$B$65:$B$374,MATCH(C562,Работы!$C$65:$C$374,0),1)</f>
        <v>#N/A</v>
      </c>
      <c r="C562" s="150"/>
      <c r="D562" s="150"/>
      <c r="E562" s="388" t="str">
        <f>IFERROR(VLOOKUP($D562,'Состав ВТК'!$B$9:$I$108,8,FALSE),"-")</f>
        <v>-</v>
      </c>
      <c r="F562" s="376" t="str">
        <f>IFERROR(INDEX(Работы!$D$65:$D$374,MATCH(C562,Работы!$C$65:$C$374,0),1),"-")</f>
        <v>-</v>
      </c>
      <c r="G562" s="390"/>
      <c r="H562" s="390"/>
      <c r="K562" s="356"/>
    </row>
    <row r="563" spans="1:11" x14ac:dyDescent="0.25">
      <c r="A563" s="394" t="s">
        <v>17</v>
      </c>
      <c r="B563" s="389" t="e">
        <f>INDEX(Работы!$B$65:$B$374,MATCH(C563,Работы!$C$65:$C$374,0),1)</f>
        <v>#N/A</v>
      </c>
      <c r="C563" s="150"/>
      <c r="D563" s="150"/>
      <c r="E563" s="388" t="str">
        <f>IFERROR(VLOOKUP($D563,'Состав ВТК'!$B$9:$I$108,8,FALSE),"-")</f>
        <v>-</v>
      </c>
      <c r="F563" s="376" t="str">
        <f>IFERROR(INDEX(Работы!$D$65:$D$374,MATCH(C563,Работы!$C$65:$C$374,0),1),"-")</f>
        <v>-</v>
      </c>
      <c r="G563" s="390"/>
      <c r="H563" s="390"/>
      <c r="K563" s="356"/>
    </row>
    <row r="564" spans="1:11" x14ac:dyDescent="0.25">
      <c r="A564" s="394" t="s">
        <v>17</v>
      </c>
      <c r="B564" s="389" t="e">
        <f>INDEX(Работы!$B$65:$B$374,MATCH(C564,Работы!$C$65:$C$374,0),1)</f>
        <v>#N/A</v>
      </c>
      <c r="C564" s="150"/>
      <c r="D564" s="150"/>
      <c r="E564" s="388" t="str">
        <f>IFERROR(VLOOKUP($D564,'Состав ВТК'!$B$9:$I$108,8,FALSE),"-")</f>
        <v>-</v>
      </c>
      <c r="F564" s="376" t="str">
        <f>IFERROR(INDEX(Работы!$D$65:$D$374,MATCH(C564,Работы!$C$65:$C$374,0),1),"-")</f>
        <v>-</v>
      </c>
      <c r="G564" s="390"/>
      <c r="H564" s="390"/>
      <c r="K564" s="356"/>
    </row>
    <row r="565" spans="1:11" x14ac:dyDescent="0.25">
      <c r="A565" s="394" t="s">
        <v>17</v>
      </c>
      <c r="B565" s="389" t="e">
        <f>INDEX(Работы!$B$65:$B$374,MATCH(C565,Работы!$C$65:$C$374,0),1)</f>
        <v>#N/A</v>
      </c>
      <c r="C565" s="150"/>
      <c r="D565" s="150"/>
      <c r="E565" s="388" t="str">
        <f>IFERROR(VLOOKUP($D565,'Состав ВТК'!$B$9:$I$108,8,FALSE),"-")</f>
        <v>-</v>
      </c>
      <c r="F565" s="376" t="str">
        <f>IFERROR(INDEX(Работы!$D$65:$D$374,MATCH(C565,Работы!$C$65:$C$374,0),1),"-")</f>
        <v>-</v>
      </c>
      <c r="G565" s="390"/>
      <c r="H565" s="390"/>
      <c r="K565" s="356"/>
    </row>
    <row r="566" spans="1:11" x14ac:dyDescent="0.25">
      <c r="A566" s="394" t="s">
        <v>17</v>
      </c>
      <c r="B566" s="389" t="e">
        <f>INDEX(Работы!$B$65:$B$374,MATCH(C566,Работы!$C$65:$C$374,0),1)</f>
        <v>#N/A</v>
      </c>
      <c r="C566" s="150"/>
      <c r="D566" s="150"/>
      <c r="E566" s="388" t="str">
        <f>IFERROR(VLOOKUP($D566,'Состав ВТК'!$B$9:$I$108,8,FALSE),"-")</f>
        <v>-</v>
      </c>
      <c r="F566" s="376" t="str">
        <f>IFERROR(INDEX(Работы!$D$65:$D$374,MATCH(C566,Работы!$C$65:$C$374,0),1),"-")</f>
        <v>-</v>
      </c>
      <c r="G566" s="390"/>
      <c r="H566" s="390"/>
      <c r="K566" s="356"/>
    </row>
    <row r="567" spans="1:11" x14ac:dyDescent="0.25">
      <c r="A567" s="394" t="s">
        <v>17</v>
      </c>
      <c r="B567" s="389" t="e">
        <f>INDEX(Работы!$B$65:$B$374,MATCH(C567,Работы!$C$65:$C$374,0),1)</f>
        <v>#N/A</v>
      </c>
      <c r="C567" s="150"/>
      <c r="D567" s="150"/>
      <c r="E567" s="388" t="str">
        <f>IFERROR(VLOOKUP($D567,'Состав ВТК'!$B$9:$I$108,8,FALSE),"-")</f>
        <v>-</v>
      </c>
      <c r="F567" s="376" t="str">
        <f>IFERROR(INDEX(Работы!$D$65:$D$374,MATCH(C567,Работы!$C$65:$C$374,0),1),"-")</f>
        <v>-</v>
      </c>
      <c r="G567" s="390"/>
      <c r="H567" s="390"/>
      <c r="K567" s="356"/>
    </row>
    <row r="568" spans="1:11" x14ac:dyDescent="0.25">
      <c r="A568" s="394" t="s">
        <v>17</v>
      </c>
      <c r="B568" s="389" t="e">
        <f>INDEX(Работы!$B$65:$B$374,MATCH(C568,Работы!$C$65:$C$374,0),1)</f>
        <v>#N/A</v>
      </c>
      <c r="C568" s="150"/>
      <c r="D568" s="150"/>
      <c r="E568" s="388" t="str">
        <f>IFERROR(VLOOKUP($D568,'Состав ВТК'!$B$9:$I$108,8,FALSE),"-")</f>
        <v>-</v>
      </c>
      <c r="F568" s="376" t="str">
        <f>IFERROR(INDEX(Работы!$D$65:$D$374,MATCH(C568,Работы!$C$65:$C$374,0),1),"-")</f>
        <v>-</v>
      </c>
      <c r="G568" s="390"/>
      <c r="H568" s="390"/>
      <c r="K568" s="356"/>
    </row>
    <row r="569" spans="1:11" x14ac:dyDescent="0.25">
      <c r="A569" s="394" t="s">
        <v>17</v>
      </c>
      <c r="B569" s="389" t="e">
        <f>INDEX(Работы!$B$65:$B$374,MATCH(C569,Работы!$C$65:$C$374,0),1)</f>
        <v>#N/A</v>
      </c>
      <c r="C569" s="150"/>
      <c r="D569" s="150"/>
      <c r="E569" s="388" t="str">
        <f>IFERROR(VLOOKUP($D569,'Состав ВТК'!$B$9:$I$108,8,FALSE),"-")</f>
        <v>-</v>
      </c>
      <c r="F569" s="376" t="str">
        <f>IFERROR(INDEX(Работы!$D$65:$D$374,MATCH(C569,Работы!$C$65:$C$374,0),1),"-")</f>
        <v>-</v>
      </c>
      <c r="G569" s="390"/>
      <c r="H569" s="390"/>
      <c r="K569" s="356"/>
    </row>
    <row r="570" spans="1:11" x14ac:dyDescent="0.25">
      <c r="A570" s="394" t="s">
        <v>17</v>
      </c>
      <c r="B570" s="389" t="e">
        <f>INDEX(Работы!$B$65:$B$374,MATCH(C570,Работы!$C$65:$C$374,0),1)</f>
        <v>#N/A</v>
      </c>
      <c r="C570" s="150"/>
      <c r="D570" s="150"/>
      <c r="E570" s="388" t="str">
        <f>IFERROR(VLOOKUP($D570,'Состав ВТК'!$B$9:$I$108,8,FALSE),"-")</f>
        <v>-</v>
      </c>
      <c r="F570" s="376" t="str">
        <f>IFERROR(INDEX(Работы!$D$65:$D$374,MATCH(C570,Работы!$C$65:$C$374,0),1),"-")</f>
        <v>-</v>
      </c>
      <c r="G570" s="390"/>
      <c r="H570" s="390"/>
      <c r="K570" s="356"/>
    </row>
    <row r="571" spans="1:11" x14ac:dyDescent="0.25">
      <c r="A571" s="394" t="s">
        <v>17</v>
      </c>
      <c r="B571" s="389" t="e">
        <f>INDEX(Работы!$B$65:$B$374,MATCH(C571,Работы!$C$65:$C$374,0),1)</f>
        <v>#N/A</v>
      </c>
      <c r="C571" s="150"/>
      <c r="D571" s="150"/>
      <c r="E571" s="388" t="str">
        <f>IFERROR(VLOOKUP($D571,'Состав ВТК'!$B$9:$I$108,8,FALSE),"-")</f>
        <v>-</v>
      </c>
      <c r="F571" s="376" t="str">
        <f>IFERROR(INDEX(Работы!$D$65:$D$374,MATCH(C571,Работы!$C$65:$C$374,0),1),"-")</f>
        <v>-</v>
      </c>
      <c r="G571" s="390"/>
      <c r="H571" s="390"/>
      <c r="K571" s="356"/>
    </row>
    <row r="572" spans="1:11" x14ac:dyDescent="0.25">
      <c r="A572" s="394" t="s">
        <v>17</v>
      </c>
      <c r="B572" s="389" t="e">
        <f>INDEX(Работы!$B$65:$B$374,MATCH(C572,Работы!$C$65:$C$374,0),1)</f>
        <v>#N/A</v>
      </c>
      <c r="C572" s="150"/>
      <c r="D572" s="150"/>
      <c r="E572" s="388" t="str">
        <f>IFERROR(VLOOKUP($D572,'Состав ВТК'!$B$9:$I$108,8,FALSE),"-")</f>
        <v>-</v>
      </c>
      <c r="F572" s="376" t="str">
        <f>IFERROR(INDEX(Работы!$D$65:$D$374,MATCH(C572,Работы!$C$65:$C$374,0),1),"-")</f>
        <v>-</v>
      </c>
      <c r="G572" s="390"/>
      <c r="H572" s="390"/>
      <c r="K572" s="356"/>
    </row>
    <row r="573" spans="1:11" x14ac:dyDescent="0.25">
      <c r="A573" s="394" t="s">
        <v>17</v>
      </c>
      <c r="B573" s="389" t="e">
        <f>INDEX(Работы!$B$65:$B$374,MATCH(C573,Работы!$C$65:$C$374,0),1)</f>
        <v>#N/A</v>
      </c>
      <c r="C573" s="150"/>
      <c r="D573" s="150"/>
      <c r="E573" s="388" t="str">
        <f>IFERROR(VLOOKUP($D573,'Состав ВТК'!$B$9:$I$108,8,FALSE),"-")</f>
        <v>-</v>
      </c>
      <c r="F573" s="376" t="str">
        <f>IFERROR(INDEX(Работы!$D$65:$D$374,MATCH(C573,Работы!$C$65:$C$374,0),1),"-")</f>
        <v>-</v>
      </c>
      <c r="G573" s="390"/>
      <c r="H573" s="390"/>
      <c r="K573" s="356"/>
    </row>
    <row r="574" spans="1:11" x14ac:dyDescent="0.25">
      <c r="A574" s="394" t="s">
        <v>17</v>
      </c>
      <c r="B574" s="389" t="e">
        <f>INDEX(Работы!$B$65:$B$374,MATCH(C574,Работы!$C$65:$C$374,0),1)</f>
        <v>#N/A</v>
      </c>
      <c r="C574" s="150"/>
      <c r="D574" s="150"/>
      <c r="E574" s="388" t="str">
        <f>IFERROR(VLOOKUP($D574,'Состав ВТК'!$B$9:$I$108,8,FALSE),"-")</f>
        <v>-</v>
      </c>
      <c r="F574" s="376" t="str">
        <f>IFERROR(INDEX(Работы!$D$65:$D$374,MATCH(C574,Работы!$C$65:$C$374,0),1),"-")</f>
        <v>-</v>
      </c>
      <c r="G574" s="390"/>
      <c r="H574" s="390"/>
      <c r="K574" s="356"/>
    </row>
    <row r="575" spans="1:11" x14ac:dyDescent="0.25">
      <c r="A575" s="394" t="s">
        <v>17</v>
      </c>
      <c r="B575" s="389" t="e">
        <f>INDEX(Работы!$B$65:$B$374,MATCH(C575,Работы!$C$65:$C$374,0),1)</f>
        <v>#N/A</v>
      </c>
      <c r="C575" s="150"/>
      <c r="D575" s="150"/>
      <c r="E575" s="388" t="str">
        <f>IFERROR(VLOOKUP($D575,'Состав ВТК'!$B$9:$I$108,8,FALSE),"-")</f>
        <v>-</v>
      </c>
      <c r="F575" s="376" t="str">
        <f>IFERROR(INDEX(Работы!$D$65:$D$374,MATCH(C575,Работы!$C$65:$C$374,0),1),"-")</f>
        <v>-</v>
      </c>
      <c r="G575" s="390"/>
      <c r="H575" s="390"/>
      <c r="K575" s="356"/>
    </row>
    <row r="576" spans="1:11" x14ac:dyDescent="0.25">
      <c r="A576" s="394" t="s">
        <v>17</v>
      </c>
      <c r="B576" s="389" t="e">
        <f>INDEX(Работы!$B$65:$B$374,MATCH(C576,Работы!$C$65:$C$374,0),1)</f>
        <v>#N/A</v>
      </c>
      <c r="C576" s="150"/>
      <c r="D576" s="150"/>
      <c r="E576" s="388" t="str">
        <f>IFERROR(VLOOKUP($D576,'Состав ВТК'!$B$9:$I$108,8,FALSE),"-")</f>
        <v>-</v>
      </c>
      <c r="F576" s="376" t="str">
        <f>IFERROR(INDEX(Работы!$D$65:$D$374,MATCH(C576,Работы!$C$65:$C$374,0),1),"-")</f>
        <v>-</v>
      </c>
      <c r="G576" s="390"/>
      <c r="H576" s="390"/>
      <c r="K576" s="356"/>
    </row>
    <row r="577" spans="1:11" x14ac:dyDescent="0.25">
      <c r="A577" s="394" t="s">
        <v>17</v>
      </c>
      <c r="B577" s="389" t="e">
        <f>INDEX(Работы!$B$65:$B$374,MATCH(C577,Работы!$C$65:$C$374,0),1)</f>
        <v>#N/A</v>
      </c>
      <c r="C577" s="150"/>
      <c r="D577" s="150"/>
      <c r="E577" s="388" t="str">
        <f>IFERROR(VLOOKUP($D577,'Состав ВТК'!$B$9:$I$108,8,FALSE),"-")</f>
        <v>-</v>
      </c>
      <c r="F577" s="376" t="str">
        <f>IFERROR(INDEX(Работы!$D$65:$D$374,MATCH(C577,Работы!$C$65:$C$374,0),1),"-")</f>
        <v>-</v>
      </c>
      <c r="G577" s="390"/>
      <c r="H577" s="390"/>
      <c r="K577" s="356"/>
    </row>
    <row r="578" spans="1:11" x14ac:dyDescent="0.25">
      <c r="A578" s="394" t="s">
        <v>17</v>
      </c>
      <c r="B578" s="389" t="e">
        <f>INDEX(Работы!$B$65:$B$374,MATCH(C578,Работы!$C$65:$C$374,0),1)</f>
        <v>#N/A</v>
      </c>
      <c r="C578" s="150"/>
      <c r="D578" s="150"/>
      <c r="E578" s="388" t="str">
        <f>IFERROR(VLOOKUP($D578,'Состав ВТК'!$B$9:$I$108,8,FALSE),"-")</f>
        <v>-</v>
      </c>
      <c r="F578" s="376" t="str">
        <f>IFERROR(INDEX(Работы!$D$65:$D$374,MATCH(C578,Работы!$C$65:$C$374,0),1),"-")</f>
        <v>-</v>
      </c>
      <c r="G578" s="390"/>
      <c r="H578" s="390"/>
      <c r="K578" s="356"/>
    </row>
    <row r="579" spans="1:11" x14ac:dyDescent="0.25">
      <c r="A579" s="394" t="s">
        <v>17</v>
      </c>
      <c r="B579" s="389" t="e">
        <f>INDEX(Работы!$B$65:$B$374,MATCH(C579,Работы!$C$65:$C$374,0),1)</f>
        <v>#N/A</v>
      </c>
      <c r="C579" s="150"/>
      <c r="D579" s="150"/>
      <c r="E579" s="388" t="str">
        <f>IFERROR(VLOOKUP($D579,'Состав ВТК'!$B$9:$I$108,8,FALSE),"-")</f>
        <v>-</v>
      </c>
      <c r="F579" s="376" t="str">
        <f>IFERROR(INDEX(Работы!$D$65:$D$374,MATCH(C579,Работы!$C$65:$C$374,0),1),"-")</f>
        <v>-</v>
      </c>
      <c r="G579" s="390"/>
      <c r="H579" s="390"/>
      <c r="K579" s="356"/>
    </row>
    <row r="580" spans="1:11" x14ac:dyDescent="0.25">
      <c r="A580" s="394" t="s">
        <v>17</v>
      </c>
      <c r="B580" s="389" t="e">
        <f>INDEX(Работы!$B$65:$B$374,MATCH(C580,Работы!$C$65:$C$374,0),1)</f>
        <v>#N/A</v>
      </c>
      <c r="C580" s="150"/>
      <c r="D580" s="150"/>
      <c r="E580" s="388" t="str">
        <f>IFERROR(VLOOKUP($D580,'Состав ВТК'!$B$9:$I$108,8,FALSE),"-")</f>
        <v>-</v>
      </c>
      <c r="F580" s="376" t="str">
        <f>IFERROR(INDEX(Работы!$D$65:$D$374,MATCH(C580,Работы!$C$65:$C$374,0),1),"-")</f>
        <v>-</v>
      </c>
      <c r="G580" s="390"/>
      <c r="H580" s="390"/>
      <c r="K580" s="356"/>
    </row>
    <row r="581" spans="1:11" x14ac:dyDescent="0.25">
      <c r="A581" s="394" t="s">
        <v>17</v>
      </c>
      <c r="B581" s="389" t="e">
        <f>INDEX(Работы!$B$65:$B$374,MATCH(C581,Работы!$C$65:$C$374,0),1)</f>
        <v>#N/A</v>
      </c>
      <c r="C581" s="150"/>
      <c r="D581" s="150"/>
      <c r="E581" s="388" t="str">
        <f>IFERROR(VLOOKUP($D581,'Состав ВТК'!$B$9:$I$108,8,FALSE),"-")</f>
        <v>-</v>
      </c>
      <c r="F581" s="376" t="str">
        <f>IFERROR(INDEX(Работы!$D$65:$D$374,MATCH(C581,Работы!$C$65:$C$374,0),1),"-")</f>
        <v>-</v>
      </c>
      <c r="G581" s="390"/>
      <c r="H581" s="390"/>
      <c r="K581" s="356"/>
    </row>
    <row r="582" spans="1:11" x14ac:dyDescent="0.25">
      <c r="A582" s="394" t="s">
        <v>17</v>
      </c>
      <c r="B582" s="389" t="e">
        <f>INDEX(Работы!$B$65:$B$374,MATCH(C582,Работы!$C$65:$C$374,0),1)</f>
        <v>#N/A</v>
      </c>
      <c r="C582" s="150"/>
      <c r="D582" s="150"/>
      <c r="E582" s="388" t="str">
        <f>IFERROR(VLOOKUP($D582,'Состав ВТК'!$B$9:$I$108,8,FALSE),"-")</f>
        <v>-</v>
      </c>
      <c r="F582" s="376" t="str">
        <f>IFERROR(INDEX(Работы!$D$65:$D$374,MATCH(C582,Работы!$C$65:$C$374,0),1),"-")</f>
        <v>-</v>
      </c>
      <c r="G582" s="390"/>
      <c r="H582" s="390"/>
      <c r="K582" s="356"/>
    </row>
    <row r="583" spans="1:11" x14ac:dyDescent="0.25">
      <c r="A583" s="394" t="s">
        <v>17</v>
      </c>
      <c r="B583" s="389" t="e">
        <f>INDEX(Работы!$B$65:$B$374,MATCH(C583,Работы!$C$65:$C$374,0),1)</f>
        <v>#N/A</v>
      </c>
      <c r="C583" s="150"/>
      <c r="D583" s="150"/>
      <c r="E583" s="388" t="str">
        <f>IFERROR(VLOOKUP($D583,'Состав ВТК'!$B$9:$I$108,8,FALSE),"-")</f>
        <v>-</v>
      </c>
      <c r="F583" s="376" t="str">
        <f>IFERROR(INDEX(Работы!$D$65:$D$374,MATCH(C583,Работы!$C$65:$C$374,0),1),"-")</f>
        <v>-</v>
      </c>
      <c r="G583" s="390"/>
      <c r="H583" s="390"/>
      <c r="K583" s="356"/>
    </row>
    <row r="584" spans="1:11" x14ac:dyDescent="0.25">
      <c r="A584" s="394" t="s">
        <v>17</v>
      </c>
      <c r="B584" s="389" t="e">
        <f>INDEX(Работы!$B$65:$B$374,MATCH(C584,Работы!$C$65:$C$374,0),1)</f>
        <v>#N/A</v>
      </c>
      <c r="C584" s="150"/>
      <c r="D584" s="150"/>
      <c r="E584" s="388" t="str">
        <f>IFERROR(VLOOKUP($D584,'Состав ВТК'!$B$9:$I$108,8,FALSE),"-")</f>
        <v>-</v>
      </c>
      <c r="F584" s="376" t="str">
        <f>IFERROR(INDEX(Работы!$D$65:$D$374,MATCH(C584,Работы!$C$65:$C$374,0),1),"-")</f>
        <v>-</v>
      </c>
      <c r="G584" s="390"/>
      <c r="H584" s="390"/>
      <c r="K584" s="356"/>
    </row>
    <row r="585" spans="1:11" x14ac:dyDescent="0.25">
      <c r="A585" s="394" t="s">
        <v>17</v>
      </c>
      <c r="B585" s="389" t="e">
        <f>INDEX(Работы!$B$65:$B$374,MATCH(C585,Работы!$C$65:$C$374,0),1)</f>
        <v>#N/A</v>
      </c>
      <c r="C585" s="150"/>
      <c r="D585" s="150"/>
      <c r="E585" s="388" t="str">
        <f>IFERROR(VLOOKUP($D585,'Состав ВТК'!$B$9:$I$108,8,FALSE),"-")</f>
        <v>-</v>
      </c>
      <c r="F585" s="376" t="str">
        <f>IFERROR(INDEX(Работы!$D$65:$D$374,MATCH(C585,Работы!$C$65:$C$374,0),1),"-")</f>
        <v>-</v>
      </c>
      <c r="G585" s="390"/>
      <c r="H585" s="390"/>
      <c r="K585" s="356"/>
    </row>
    <row r="586" spans="1:11" x14ac:dyDescent="0.25">
      <c r="A586" s="394" t="s">
        <v>17</v>
      </c>
      <c r="B586" s="389" t="e">
        <f>INDEX(Работы!$B$65:$B$374,MATCH(C586,Работы!$C$65:$C$374,0),1)</f>
        <v>#N/A</v>
      </c>
      <c r="C586" s="150"/>
      <c r="D586" s="150"/>
      <c r="E586" s="388" t="str">
        <f>IFERROR(VLOOKUP($D586,'Состав ВТК'!$B$9:$I$108,8,FALSE),"-")</f>
        <v>-</v>
      </c>
      <c r="F586" s="376" t="str">
        <f>IFERROR(INDEX(Работы!$D$65:$D$374,MATCH(C586,Работы!$C$65:$C$374,0),1),"-")</f>
        <v>-</v>
      </c>
      <c r="G586" s="390"/>
      <c r="H586" s="390"/>
      <c r="K586" s="356"/>
    </row>
    <row r="587" spans="1:11" x14ac:dyDescent="0.25">
      <c r="A587" s="394" t="s">
        <v>17</v>
      </c>
      <c r="B587" s="389" t="e">
        <f>INDEX(Работы!$B$65:$B$374,MATCH(C587,Работы!$C$65:$C$374,0),1)</f>
        <v>#N/A</v>
      </c>
      <c r="C587" s="150"/>
      <c r="D587" s="150"/>
      <c r="E587" s="388" t="str">
        <f>IFERROR(VLOOKUP($D587,'Состав ВТК'!$B$9:$I$108,8,FALSE),"-")</f>
        <v>-</v>
      </c>
      <c r="F587" s="376" t="str">
        <f>IFERROR(INDEX(Работы!$D$65:$D$374,MATCH(C587,Работы!$C$65:$C$374,0),1),"-")</f>
        <v>-</v>
      </c>
      <c r="G587" s="390"/>
      <c r="H587" s="390"/>
      <c r="K587" s="356"/>
    </row>
    <row r="588" spans="1:11" x14ac:dyDescent="0.25">
      <c r="A588" s="394" t="s">
        <v>17</v>
      </c>
      <c r="B588" s="389" t="e">
        <f>INDEX(Работы!$B$65:$B$374,MATCH(C588,Работы!$C$65:$C$374,0),1)</f>
        <v>#N/A</v>
      </c>
      <c r="C588" s="150"/>
      <c r="D588" s="150"/>
      <c r="E588" s="388" t="str">
        <f>IFERROR(VLOOKUP($D588,'Состав ВТК'!$B$9:$I$108,8,FALSE),"-")</f>
        <v>-</v>
      </c>
      <c r="F588" s="376" t="str">
        <f>IFERROR(INDEX(Работы!$D$65:$D$374,MATCH(C588,Работы!$C$65:$C$374,0),1),"-")</f>
        <v>-</v>
      </c>
      <c r="G588" s="390"/>
      <c r="H588" s="390"/>
      <c r="K588" s="356"/>
    </row>
    <row r="589" spans="1:11" x14ac:dyDescent="0.25">
      <c r="A589" s="394" t="s">
        <v>17</v>
      </c>
      <c r="B589" s="389" t="e">
        <f>INDEX(Работы!$B$65:$B$374,MATCH(C589,Работы!$C$65:$C$374,0),1)</f>
        <v>#N/A</v>
      </c>
      <c r="C589" s="150"/>
      <c r="D589" s="150"/>
      <c r="E589" s="388" t="str">
        <f>IFERROR(VLOOKUP($D589,'Состав ВТК'!$B$9:$I$108,8,FALSE),"-")</f>
        <v>-</v>
      </c>
      <c r="F589" s="376" t="str">
        <f>IFERROR(INDEX(Работы!$D$65:$D$374,MATCH(C589,Работы!$C$65:$C$374,0),1),"-")</f>
        <v>-</v>
      </c>
      <c r="G589" s="390"/>
      <c r="H589" s="390"/>
      <c r="K589" s="356"/>
    </row>
    <row r="590" spans="1:11" x14ac:dyDescent="0.25">
      <c r="A590" s="394" t="s">
        <v>17</v>
      </c>
      <c r="B590" s="389" t="e">
        <f>INDEX(Работы!$B$65:$B$374,MATCH(C590,Работы!$C$65:$C$374,0),1)</f>
        <v>#N/A</v>
      </c>
      <c r="C590" s="150"/>
      <c r="D590" s="150"/>
      <c r="E590" s="388" t="str">
        <f>IFERROR(VLOOKUP($D590,'Состав ВТК'!$B$9:$I$108,8,FALSE),"-")</f>
        <v>-</v>
      </c>
      <c r="F590" s="376" t="str">
        <f>IFERROR(INDEX(Работы!$D$65:$D$374,MATCH(C590,Работы!$C$65:$C$374,0),1),"-")</f>
        <v>-</v>
      </c>
      <c r="G590" s="390"/>
      <c r="H590" s="390"/>
      <c r="K590" s="356"/>
    </row>
    <row r="591" spans="1:11" x14ac:dyDescent="0.25">
      <c r="A591" s="394" t="s">
        <v>17</v>
      </c>
      <c r="B591" s="389" t="e">
        <f>INDEX(Работы!$B$65:$B$374,MATCH(C591,Работы!$C$65:$C$374,0),1)</f>
        <v>#N/A</v>
      </c>
      <c r="C591" s="150"/>
      <c r="D591" s="150"/>
      <c r="E591" s="388" t="str">
        <f>IFERROR(VLOOKUP($D591,'Состав ВТК'!$B$9:$I$108,8,FALSE),"-")</f>
        <v>-</v>
      </c>
      <c r="F591" s="376" t="str">
        <f>IFERROR(INDEX(Работы!$D$65:$D$374,MATCH(C591,Работы!$C$65:$C$374,0),1),"-")</f>
        <v>-</v>
      </c>
      <c r="G591" s="390"/>
      <c r="H591" s="390"/>
      <c r="K591" s="356"/>
    </row>
    <row r="592" spans="1:11" x14ac:dyDescent="0.25">
      <c r="A592" s="394" t="s">
        <v>17</v>
      </c>
      <c r="B592" s="389" t="e">
        <f>INDEX(Работы!$B$65:$B$374,MATCH(C592,Работы!$C$65:$C$374,0),1)</f>
        <v>#N/A</v>
      </c>
      <c r="C592" s="150"/>
      <c r="D592" s="150"/>
      <c r="E592" s="388" t="str">
        <f>IFERROR(VLOOKUP($D592,'Состав ВТК'!$B$9:$I$108,8,FALSE),"-")</f>
        <v>-</v>
      </c>
      <c r="F592" s="376" t="str">
        <f>IFERROR(INDEX(Работы!$D$65:$D$374,MATCH(C592,Работы!$C$65:$C$374,0),1),"-")</f>
        <v>-</v>
      </c>
      <c r="G592" s="390"/>
      <c r="H592" s="390"/>
      <c r="K592" s="356"/>
    </row>
    <row r="593" spans="1:11" x14ac:dyDescent="0.25">
      <c r="A593" s="394" t="s">
        <v>17</v>
      </c>
      <c r="B593" s="389" t="e">
        <f>INDEX(Работы!$B$65:$B$374,MATCH(C593,Работы!$C$65:$C$374,0),1)</f>
        <v>#N/A</v>
      </c>
      <c r="C593" s="150"/>
      <c r="D593" s="150"/>
      <c r="E593" s="388" t="str">
        <f>IFERROR(VLOOKUP($D593,'Состав ВТК'!$B$9:$I$108,8,FALSE),"-")</f>
        <v>-</v>
      </c>
      <c r="F593" s="376" t="str">
        <f>IFERROR(INDEX(Работы!$D$65:$D$374,MATCH(C593,Работы!$C$65:$C$374,0),1),"-")</f>
        <v>-</v>
      </c>
      <c r="G593" s="390"/>
      <c r="H593" s="390"/>
      <c r="K593" s="356"/>
    </row>
    <row r="594" spans="1:11" x14ac:dyDescent="0.25">
      <c r="A594" s="394" t="s">
        <v>17</v>
      </c>
      <c r="B594" s="389" t="e">
        <f>INDEX(Работы!$B$65:$B$374,MATCH(C594,Работы!$C$65:$C$374,0),1)</f>
        <v>#N/A</v>
      </c>
      <c r="C594" s="150"/>
      <c r="D594" s="150"/>
      <c r="E594" s="388" t="str">
        <f>IFERROR(VLOOKUP($D594,'Состав ВТК'!$B$9:$I$108,8,FALSE),"-")</f>
        <v>-</v>
      </c>
      <c r="F594" s="376" t="str">
        <f>IFERROR(INDEX(Работы!$D$65:$D$374,MATCH(C594,Работы!$C$65:$C$374,0),1),"-")</f>
        <v>-</v>
      </c>
      <c r="G594" s="390"/>
      <c r="H594" s="390"/>
      <c r="K594" s="356"/>
    </row>
    <row r="595" spans="1:11" x14ac:dyDescent="0.25">
      <c r="A595" s="394" t="s">
        <v>17</v>
      </c>
      <c r="B595" s="389" t="e">
        <f>INDEX(Работы!$B$65:$B$374,MATCH(C595,Работы!$C$65:$C$374,0),1)</f>
        <v>#N/A</v>
      </c>
      <c r="C595" s="150"/>
      <c r="D595" s="150"/>
      <c r="E595" s="388" t="str">
        <f>IFERROR(VLOOKUP($D595,'Состав ВТК'!$B$9:$I$108,8,FALSE),"-")</f>
        <v>-</v>
      </c>
      <c r="F595" s="376" t="str">
        <f>IFERROR(INDEX(Работы!$D$65:$D$374,MATCH(C595,Работы!$C$65:$C$374,0),1),"-")</f>
        <v>-</v>
      </c>
      <c r="G595" s="390"/>
      <c r="H595" s="390"/>
      <c r="K595" s="356"/>
    </row>
    <row r="596" spans="1:11" x14ac:dyDescent="0.25">
      <c r="A596" s="394" t="s">
        <v>17</v>
      </c>
      <c r="B596" s="389" t="e">
        <f>INDEX(Работы!$B$65:$B$374,MATCH(C596,Работы!$C$65:$C$374,0),1)</f>
        <v>#N/A</v>
      </c>
      <c r="C596" s="150"/>
      <c r="D596" s="150"/>
      <c r="E596" s="388" t="str">
        <f>IFERROR(VLOOKUP($D596,'Состав ВТК'!$B$9:$I$108,8,FALSE),"-")</f>
        <v>-</v>
      </c>
      <c r="F596" s="376" t="str">
        <f>IFERROR(INDEX(Работы!$D$65:$D$374,MATCH(C596,Работы!$C$65:$C$374,0),1),"-")</f>
        <v>-</v>
      </c>
      <c r="G596" s="390"/>
      <c r="H596" s="390"/>
      <c r="K596" s="356"/>
    </row>
    <row r="597" spans="1:11" x14ac:dyDescent="0.25">
      <c r="A597" s="394" t="s">
        <v>17</v>
      </c>
      <c r="B597" s="389" t="e">
        <f>INDEX(Работы!$B$65:$B$374,MATCH(C597,Работы!$C$65:$C$374,0),1)</f>
        <v>#N/A</v>
      </c>
      <c r="C597" s="150"/>
      <c r="D597" s="150"/>
      <c r="E597" s="388" t="str">
        <f>IFERROR(VLOOKUP($D597,'Состав ВТК'!$B$9:$I$108,8,FALSE),"-")</f>
        <v>-</v>
      </c>
      <c r="F597" s="376" t="str">
        <f>IFERROR(INDEX(Работы!$D$65:$D$374,MATCH(C597,Работы!$C$65:$C$374,0),1),"-")</f>
        <v>-</v>
      </c>
      <c r="G597" s="390"/>
      <c r="H597" s="390"/>
      <c r="K597" s="356"/>
    </row>
    <row r="598" spans="1:11" x14ac:dyDescent="0.25">
      <c r="A598" s="394" t="s">
        <v>17</v>
      </c>
      <c r="B598" s="389" t="e">
        <f>INDEX(Работы!$B$65:$B$374,MATCH(C598,Работы!$C$65:$C$374,0),1)</f>
        <v>#N/A</v>
      </c>
      <c r="C598" s="150"/>
      <c r="D598" s="150"/>
      <c r="E598" s="388" t="str">
        <f>IFERROR(VLOOKUP($D598,'Состав ВТК'!$B$9:$I$108,8,FALSE),"-")</f>
        <v>-</v>
      </c>
      <c r="F598" s="376" t="str">
        <f>IFERROR(INDEX(Работы!$D$65:$D$374,MATCH(C598,Работы!$C$65:$C$374,0),1),"-")</f>
        <v>-</v>
      </c>
      <c r="G598" s="390"/>
      <c r="H598" s="390"/>
      <c r="K598" s="356"/>
    </row>
    <row r="599" spans="1:11" x14ac:dyDescent="0.25">
      <c r="A599" s="394" t="s">
        <v>17</v>
      </c>
      <c r="B599" s="389" t="e">
        <f>INDEX(Работы!$B$65:$B$374,MATCH(C599,Работы!$C$65:$C$374,0),1)</f>
        <v>#N/A</v>
      </c>
      <c r="C599" s="150"/>
      <c r="D599" s="150"/>
      <c r="E599" s="388" t="str">
        <f>IFERROR(VLOOKUP($D599,'Состав ВТК'!$B$9:$I$108,8,FALSE),"-")</f>
        <v>-</v>
      </c>
      <c r="F599" s="376" t="str">
        <f>IFERROR(INDEX(Работы!$D$65:$D$374,MATCH(C599,Работы!$C$65:$C$374,0),1),"-")</f>
        <v>-</v>
      </c>
      <c r="G599" s="390"/>
      <c r="H599" s="390"/>
      <c r="K599" s="356"/>
    </row>
    <row r="600" spans="1:11" x14ac:dyDescent="0.25">
      <c r="A600" s="394" t="s">
        <v>17</v>
      </c>
      <c r="B600" s="389" t="e">
        <f>INDEX(Работы!$B$65:$B$374,MATCH(C600,Работы!$C$65:$C$374,0),1)</f>
        <v>#N/A</v>
      </c>
      <c r="C600" s="150"/>
      <c r="D600" s="150"/>
      <c r="E600" s="388" t="str">
        <f>IFERROR(VLOOKUP($D600,'Состав ВТК'!$B$9:$I$108,8,FALSE),"-")</f>
        <v>-</v>
      </c>
      <c r="F600" s="376" t="str">
        <f>IFERROR(INDEX(Работы!$D$65:$D$374,MATCH(C600,Работы!$C$65:$C$374,0),1),"-")</f>
        <v>-</v>
      </c>
      <c r="G600" s="390"/>
      <c r="H600" s="390"/>
      <c r="K600" s="356"/>
    </row>
    <row r="601" spans="1:11" x14ac:dyDescent="0.25">
      <c r="A601" s="394" t="s">
        <v>17</v>
      </c>
      <c r="B601" s="389" t="e">
        <f>INDEX(Работы!$B$65:$B$374,MATCH(C601,Работы!$C$65:$C$374,0),1)</f>
        <v>#N/A</v>
      </c>
      <c r="C601" s="150"/>
      <c r="D601" s="150"/>
      <c r="E601" s="388" t="str">
        <f>IFERROR(VLOOKUP($D601,'Состав ВТК'!$B$9:$I$108,8,FALSE),"-")</f>
        <v>-</v>
      </c>
      <c r="F601" s="376" t="str">
        <f>IFERROR(INDEX(Работы!$D$65:$D$374,MATCH(C601,Работы!$C$65:$C$374,0),1),"-")</f>
        <v>-</v>
      </c>
      <c r="G601" s="390"/>
      <c r="H601" s="390"/>
      <c r="K601" s="356"/>
    </row>
    <row r="602" spans="1:11" x14ac:dyDescent="0.25">
      <c r="A602" s="394" t="s">
        <v>17</v>
      </c>
      <c r="B602" s="389" t="e">
        <f>INDEX(Работы!$B$65:$B$374,MATCH(C602,Работы!$C$65:$C$374,0),1)</f>
        <v>#N/A</v>
      </c>
      <c r="C602" s="150"/>
      <c r="D602" s="150"/>
      <c r="E602" s="388" t="str">
        <f>IFERROR(VLOOKUP($D602,'Состав ВТК'!$B$9:$I$108,8,FALSE),"-")</f>
        <v>-</v>
      </c>
      <c r="F602" s="376" t="str">
        <f>IFERROR(INDEX(Работы!$D$65:$D$374,MATCH(C602,Работы!$C$65:$C$374,0),1),"-")</f>
        <v>-</v>
      </c>
      <c r="G602" s="390"/>
      <c r="H602" s="390"/>
      <c r="K602" s="356"/>
    </row>
    <row r="603" spans="1:11" x14ac:dyDescent="0.25">
      <c r="A603" s="394" t="s">
        <v>17</v>
      </c>
      <c r="B603" s="389" t="e">
        <f>INDEX(Работы!$B$65:$B$374,MATCH(C603,Работы!$C$65:$C$374,0),1)</f>
        <v>#N/A</v>
      </c>
      <c r="C603" s="150"/>
      <c r="D603" s="150"/>
      <c r="E603" s="388" t="str">
        <f>IFERROR(VLOOKUP($D603,'Состав ВТК'!$B$9:$I$108,8,FALSE),"-")</f>
        <v>-</v>
      </c>
      <c r="F603" s="376" t="str">
        <f>IFERROR(INDEX(Работы!$D$65:$D$374,MATCH(C603,Работы!$C$65:$C$374,0),1),"-")</f>
        <v>-</v>
      </c>
      <c r="G603" s="390"/>
      <c r="H603" s="390"/>
      <c r="K603" s="356"/>
    </row>
    <row r="604" spans="1:11" x14ac:dyDescent="0.25">
      <c r="A604" s="394" t="s">
        <v>17</v>
      </c>
      <c r="B604" s="389" t="e">
        <f>INDEX(Работы!$B$65:$B$374,MATCH(C604,Работы!$C$65:$C$374,0),1)</f>
        <v>#N/A</v>
      </c>
      <c r="C604" s="150"/>
      <c r="D604" s="150"/>
      <c r="E604" s="388" t="str">
        <f>IFERROR(VLOOKUP($D604,'Состав ВТК'!$B$9:$I$108,8,FALSE),"-")</f>
        <v>-</v>
      </c>
      <c r="F604" s="376" t="str">
        <f>IFERROR(INDEX(Работы!$D$65:$D$374,MATCH(C604,Работы!$C$65:$C$374,0),1),"-")</f>
        <v>-</v>
      </c>
      <c r="G604" s="390"/>
      <c r="H604" s="390"/>
      <c r="K604" s="356"/>
    </row>
    <row r="605" spans="1:11" x14ac:dyDescent="0.25">
      <c r="A605" s="394" t="s">
        <v>17</v>
      </c>
      <c r="B605" s="389" t="e">
        <f>INDEX(Работы!$B$65:$B$374,MATCH(C605,Работы!$C$65:$C$374,0),1)</f>
        <v>#N/A</v>
      </c>
      <c r="C605" s="150"/>
      <c r="D605" s="150"/>
      <c r="E605" s="388" t="str">
        <f>IFERROR(VLOOKUP($D605,'Состав ВТК'!$B$9:$I$108,8,FALSE),"-")</f>
        <v>-</v>
      </c>
      <c r="F605" s="376" t="str">
        <f>IFERROR(INDEX(Работы!$D$65:$D$374,MATCH(C605,Работы!$C$65:$C$374,0),1),"-")</f>
        <v>-</v>
      </c>
      <c r="G605" s="390"/>
      <c r="H605" s="390"/>
      <c r="K605" s="356"/>
    </row>
    <row r="606" spans="1:11" x14ac:dyDescent="0.25">
      <c r="A606" s="394" t="s">
        <v>17</v>
      </c>
      <c r="B606" s="389" t="e">
        <f>INDEX(Работы!$B$65:$B$374,MATCH(C606,Работы!$C$65:$C$374,0),1)</f>
        <v>#N/A</v>
      </c>
      <c r="C606" s="150"/>
      <c r="D606" s="150"/>
      <c r="E606" s="388" t="str">
        <f>IFERROR(VLOOKUP($D606,'Состав ВТК'!$B$9:$I$108,8,FALSE),"-")</f>
        <v>-</v>
      </c>
      <c r="F606" s="376" t="str">
        <f>IFERROR(INDEX(Работы!$D$65:$D$374,MATCH(C606,Работы!$C$65:$C$374,0),1),"-")</f>
        <v>-</v>
      </c>
      <c r="G606" s="390"/>
      <c r="H606" s="390"/>
      <c r="K606" s="356"/>
    </row>
    <row r="607" spans="1:11" x14ac:dyDescent="0.25">
      <c r="A607" s="394" t="s">
        <v>17</v>
      </c>
      <c r="B607" s="389" t="e">
        <f>INDEX(Работы!$B$65:$B$374,MATCH(C607,Работы!$C$65:$C$374,0),1)</f>
        <v>#N/A</v>
      </c>
      <c r="C607" s="150"/>
      <c r="D607" s="150"/>
      <c r="E607" s="388" t="str">
        <f>IFERROR(VLOOKUP($D607,'Состав ВТК'!$B$9:$I$108,8,FALSE),"-")</f>
        <v>-</v>
      </c>
      <c r="F607" s="376" t="str">
        <f>IFERROR(INDEX(Работы!$D$65:$D$374,MATCH(C607,Работы!$C$65:$C$374,0),1),"-")</f>
        <v>-</v>
      </c>
      <c r="G607" s="390"/>
      <c r="H607" s="390"/>
      <c r="K607" s="356"/>
    </row>
    <row r="608" spans="1:11" x14ac:dyDescent="0.25">
      <c r="A608" s="394" t="s">
        <v>17</v>
      </c>
      <c r="B608" s="389" t="e">
        <f>INDEX(Работы!$B$65:$B$374,MATCH(C608,Работы!$C$65:$C$374,0),1)</f>
        <v>#N/A</v>
      </c>
      <c r="C608" s="150"/>
      <c r="D608" s="150"/>
      <c r="E608" s="388" t="str">
        <f>IFERROR(VLOOKUP($D608,'Состав ВТК'!$B$9:$I$108,8,FALSE),"-")</f>
        <v>-</v>
      </c>
      <c r="F608" s="376" t="str">
        <f>IFERROR(INDEX(Работы!$D$65:$D$374,MATCH(C608,Работы!$C$65:$C$374,0),1),"-")</f>
        <v>-</v>
      </c>
      <c r="G608" s="390"/>
      <c r="H608" s="390"/>
      <c r="K608" s="356"/>
    </row>
    <row r="609" spans="1:11" x14ac:dyDescent="0.25">
      <c r="A609" s="394" t="s">
        <v>17</v>
      </c>
      <c r="B609" s="389" t="e">
        <f>INDEX(Работы!$B$65:$B$374,MATCH(C609,Работы!$C$65:$C$374,0),1)</f>
        <v>#N/A</v>
      </c>
      <c r="C609" s="150"/>
      <c r="D609" s="150"/>
      <c r="E609" s="388" t="str">
        <f>IFERROR(VLOOKUP($D609,'Состав ВТК'!$B$9:$I$108,8,FALSE),"-")</f>
        <v>-</v>
      </c>
      <c r="F609" s="376" t="str">
        <f>IFERROR(INDEX(Работы!$D$65:$D$374,MATCH(C609,Работы!$C$65:$C$374,0),1),"-")</f>
        <v>-</v>
      </c>
      <c r="G609" s="390"/>
      <c r="H609" s="390"/>
      <c r="K609" s="356"/>
    </row>
    <row r="610" spans="1:11" x14ac:dyDescent="0.25">
      <c r="A610" s="394" t="s">
        <v>17</v>
      </c>
      <c r="B610" s="389" t="e">
        <f>INDEX(Работы!$B$65:$B$374,MATCH(C610,Работы!$C$65:$C$374,0),1)</f>
        <v>#N/A</v>
      </c>
      <c r="C610" s="150"/>
      <c r="D610" s="150"/>
      <c r="E610" s="388" t="str">
        <f>IFERROR(VLOOKUP($D610,'Состав ВТК'!$B$9:$I$108,8,FALSE),"-")</f>
        <v>-</v>
      </c>
      <c r="F610" s="376" t="str">
        <f>IFERROR(INDEX(Работы!$D$65:$D$374,MATCH(C610,Работы!$C$65:$C$374,0),1),"-")</f>
        <v>-</v>
      </c>
      <c r="G610" s="390"/>
      <c r="H610" s="390"/>
      <c r="K610" s="356"/>
    </row>
    <row r="611" spans="1:11" x14ac:dyDescent="0.25">
      <c r="A611" s="394" t="s">
        <v>17</v>
      </c>
      <c r="B611" s="389" t="e">
        <f>INDEX(Работы!$B$65:$B$374,MATCH(C611,Работы!$C$65:$C$374,0),1)</f>
        <v>#N/A</v>
      </c>
      <c r="C611" s="150"/>
      <c r="D611" s="150"/>
      <c r="E611" s="388" t="str">
        <f>IFERROR(VLOOKUP($D611,'Состав ВТК'!$B$9:$I$108,8,FALSE),"-")</f>
        <v>-</v>
      </c>
      <c r="F611" s="376" t="str">
        <f>IFERROR(INDEX(Работы!$D$65:$D$374,MATCH(C611,Работы!$C$65:$C$374,0),1),"-")</f>
        <v>-</v>
      </c>
      <c r="G611" s="390"/>
      <c r="H611" s="390"/>
      <c r="K611" s="356"/>
    </row>
    <row r="612" spans="1:11" x14ac:dyDescent="0.25">
      <c r="A612" s="394" t="s">
        <v>17</v>
      </c>
      <c r="B612" s="389" t="e">
        <f>INDEX(Работы!$B$65:$B$374,MATCH(C612,Работы!$C$65:$C$374,0),1)</f>
        <v>#N/A</v>
      </c>
      <c r="C612" s="150"/>
      <c r="D612" s="150"/>
      <c r="E612" s="388" t="str">
        <f>IFERROR(VLOOKUP($D612,'Состав ВТК'!$B$9:$I$108,8,FALSE),"-")</f>
        <v>-</v>
      </c>
      <c r="F612" s="376" t="str">
        <f>IFERROR(INDEX(Работы!$D$65:$D$374,MATCH(C612,Работы!$C$65:$C$374,0),1),"-")</f>
        <v>-</v>
      </c>
      <c r="G612" s="390"/>
      <c r="H612" s="390"/>
      <c r="K612" s="356"/>
    </row>
    <row r="613" spans="1:11" x14ac:dyDescent="0.25">
      <c r="A613" s="394" t="s">
        <v>17</v>
      </c>
      <c r="B613" s="389" t="e">
        <f>INDEX(Работы!$B$65:$B$374,MATCH(C613,Работы!$C$65:$C$374,0),1)</f>
        <v>#N/A</v>
      </c>
      <c r="C613" s="150"/>
      <c r="D613" s="150"/>
      <c r="E613" s="388" t="str">
        <f>IFERROR(VLOOKUP($D613,'Состав ВТК'!$B$9:$I$108,8,FALSE),"-")</f>
        <v>-</v>
      </c>
      <c r="F613" s="376" t="str">
        <f>IFERROR(INDEX(Работы!$D$65:$D$374,MATCH(C613,Работы!$C$65:$C$374,0),1),"-")</f>
        <v>-</v>
      </c>
      <c r="G613" s="390"/>
      <c r="H613" s="390"/>
      <c r="K613" s="356"/>
    </row>
    <row r="614" spans="1:11" x14ac:dyDescent="0.25">
      <c r="A614" s="394" t="s">
        <v>17</v>
      </c>
      <c r="B614" s="389" t="e">
        <f>INDEX(Работы!$B$65:$B$374,MATCH(C614,Работы!$C$65:$C$374,0),1)</f>
        <v>#N/A</v>
      </c>
      <c r="C614" s="150"/>
      <c r="D614" s="150"/>
      <c r="E614" s="388" t="str">
        <f>IFERROR(VLOOKUP($D614,'Состав ВТК'!$B$9:$I$108,8,FALSE),"-")</f>
        <v>-</v>
      </c>
      <c r="F614" s="376" t="str">
        <f>IFERROR(INDEX(Работы!$D$65:$D$374,MATCH(C614,Работы!$C$65:$C$374,0),1),"-")</f>
        <v>-</v>
      </c>
      <c r="G614" s="390"/>
      <c r="H614" s="390"/>
      <c r="K614" s="356"/>
    </row>
    <row r="615" spans="1:11" x14ac:dyDescent="0.25">
      <c r="A615" s="394" t="s">
        <v>17</v>
      </c>
      <c r="B615" s="389" t="e">
        <f>INDEX(Работы!$B$65:$B$374,MATCH(C615,Работы!$C$65:$C$374,0),1)</f>
        <v>#N/A</v>
      </c>
      <c r="C615" s="150"/>
      <c r="D615" s="150"/>
      <c r="E615" s="388" t="str">
        <f>IFERROR(VLOOKUP($D615,'Состав ВТК'!$B$9:$I$108,8,FALSE),"-")</f>
        <v>-</v>
      </c>
      <c r="F615" s="376" t="str">
        <f>IFERROR(INDEX(Работы!$D$65:$D$374,MATCH(C615,Работы!$C$65:$C$374,0),1),"-")</f>
        <v>-</v>
      </c>
      <c r="G615" s="390"/>
      <c r="H615" s="390"/>
      <c r="K615" s="356"/>
    </row>
    <row r="616" spans="1:11" x14ac:dyDescent="0.25">
      <c r="A616" s="394" t="s">
        <v>17</v>
      </c>
      <c r="B616" s="389" t="e">
        <f>INDEX(Работы!$B$65:$B$374,MATCH(C616,Работы!$C$65:$C$374,0),1)</f>
        <v>#N/A</v>
      </c>
      <c r="C616" s="150"/>
      <c r="D616" s="150"/>
      <c r="E616" s="388" t="str">
        <f>IFERROR(VLOOKUP($D616,'Состав ВТК'!$B$9:$I$108,8,FALSE),"-")</f>
        <v>-</v>
      </c>
      <c r="F616" s="376" t="str">
        <f>IFERROR(INDEX(Работы!$D$65:$D$374,MATCH(C616,Работы!$C$65:$C$374,0),1),"-")</f>
        <v>-</v>
      </c>
      <c r="G616" s="390"/>
      <c r="H616" s="390"/>
      <c r="K616" s="356"/>
    </row>
    <row r="617" spans="1:11" x14ac:dyDescent="0.25">
      <c r="A617" s="394" t="s">
        <v>17</v>
      </c>
      <c r="B617" s="389" t="e">
        <f>INDEX(Работы!$B$65:$B$374,MATCH(C617,Работы!$C$65:$C$374,0),1)</f>
        <v>#N/A</v>
      </c>
      <c r="C617" s="150"/>
      <c r="D617" s="150"/>
      <c r="E617" s="388" t="str">
        <f>IFERROR(VLOOKUP($D617,'Состав ВТК'!$B$9:$I$108,8,FALSE),"-")</f>
        <v>-</v>
      </c>
      <c r="F617" s="376" t="str">
        <f>IFERROR(INDEX(Работы!$D$65:$D$374,MATCH(C617,Работы!$C$65:$C$374,0),1),"-")</f>
        <v>-</v>
      </c>
      <c r="G617" s="390"/>
      <c r="H617" s="390"/>
      <c r="K617" s="356"/>
    </row>
    <row r="618" spans="1:11" x14ac:dyDescent="0.25">
      <c r="A618" s="394" t="s">
        <v>17</v>
      </c>
      <c r="B618" s="389" t="e">
        <f>INDEX(Работы!$B$65:$B$374,MATCH(C618,Работы!$C$65:$C$374,0),1)</f>
        <v>#N/A</v>
      </c>
      <c r="C618" s="150"/>
      <c r="D618" s="150"/>
      <c r="E618" s="388" t="str">
        <f>IFERROR(VLOOKUP($D618,'Состав ВТК'!$B$9:$I$108,8,FALSE),"-")</f>
        <v>-</v>
      </c>
      <c r="F618" s="376" t="str">
        <f>IFERROR(INDEX(Работы!$D$65:$D$374,MATCH(C618,Работы!$C$65:$C$374,0),1),"-")</f>
        <v>-</v>
      </c>
      <c r="G618" s="390"/>
      <c r="H618" s="390"/>
      <c r="K618" s="356"/>
    </row>
    <row r="619" spans="1:11" x14ac:dyDescent="0.25">
      <c r="A619" s="394" t="s">
        <v>17</v>
      </c>
      <c r="B619" s="389" t="e">
        <f>INDEX(Работы!$B$65:$B$374,MATCH(C619,Работы!$C$65:$C$374,0),1)</f>
        <v>#N/A</v>
      </c>
      <c r="C619" s="150"/>
      <c r="D619" s="150"/>
      <c r="E619" s="388" t="str">
        <f>IFERROR(VLOOKUP($D619,'Состав ВТК'!$B$9:$I$108,8,FALSE),"-")</f>
        <v>-</v>
      </c>
      <c r="F619" s="376" t="str">
        <f>IFERROR(INDEX(Работы!$D$65:$D$374,MATCH(C619,Работы!$C$65:$C$374,0),1),"-")</f>
        <v>-</v>
      </c>
      <c r="G619" s="390"/>
      <c r="H619" s="390"/>
      <c r="K619" s="356"/>
    </row>
    <row r="620" spans="1:11" x14ac:dyDescent="0.25">
      <c r="A620" s="394" t="s">
        <v>17</v>
      </c>
      <c r="B620" s="389" t="e">
        <f>INDEX(Работы!$B$65:$B$374,MATCH(C620,Работы!$C$65:$C$374,0),1)</f>
        <v>#N/A</v>
      </c>
      <c r="C620" s="150"/>
      <c r="D620" s="150"/>
      <c r="E620" s="388" t="str">
        <f>IFERROR(VLOOKUP($D620,'Состав ВТК'!$B$9:$I$108,8,FALSE),"-")</f>
        <v>-</v>
      </c>
      <c r="F620" s="376" t="str">
        <f>IFERROR(INDEX(Работы!$D$65:$D$374,MATCH(C620,Работы!$C$65:$C$374,0),1),"-")</f>
        <v>-</v>
      </c>
      <c r="G620" s="390"/>
      <c r="H620" s="390"/>
      <c r="K620" s="356"/>
    </row>
    <row r="621" spans="1:11" x14ac:dyDescent="0.25">
      <c r="A621" s="394" t="s">
        <v>17</v>
      </c>
      <c r="B621" s="389" t="e">
        <f>INDEX(Работы!$B$65:$B$374,MATCH(C621,Работы!$C$65:$C$374,0),1)</f>
        <v>#N/A</v>
      </c>
      <c r="C621" s="150"/>
      <c r="D621" s="150"/>
      <c r="E621" s="388" t="str">
        <f>IFERROR(VLOOKUP($D621,'Состав ВТК'!$B$9:$I$108,8,FALSE),"-")</f>
        <v>-</v>
      </c>
      <c r="F621" s="376" t="str">
        <f>IFERROR(INDEX(Работы!$D$65:$D$374,MATCH(C621,Работы!$C$65:$C$374,0),1),"-")</f>
        <v>-</v>
      </c>
      <c r="G621" s="390"/>
      <c r="H621" s="390"/>
      <c r="K621" s="356"/>
    </row>
    <row r="622" spans="1:11" x14ac:dyDescent="0.25">
      <c r="A622" s="394" t="s">
        <v>17</v>
      </c>
      <c r="B622" s="389" t="e">
        <f>INDEX(Работы!$B$65:$B$374,MATCH(C622,Работы!$C$65:$C$374,0),1)</f>
        <v>#N/A</v>
      </c>
      <c r="C622" s="150"/>
      <c r="D622" s="150"/>
      <c r="E622" s="388" t="str">
        <f>IFERROR(VLOOKUP($D622,'Состав ВТК'!$B$9:$I$108,8,FALSE),"-")</f>
        <v>-</v>
      </c>
      <c r="F622" s="376" t="str">
        <f>IFERROR(INDEX(Работы!$D$65:$D$374,MATCH(C622,Работы!$C$65:$C$374,0),1),"-")</f>
        <v>-</v>
      </c>
      <c r="G622" s="390"/>
      <c r="H622" s="390"/>
      <c r="K622" s="356"/>
    </row>
    <row r="623" spans="1:11" x14ac:dyDescent="0.25">
      <c r="A623" s="394" t="s">
        <v>17</v>
      </c>
      <c r="B623" s="389" t="e">
        <f>INDEX(Работы!$B$65:$B$374,MATCH(C623,Работы!$C$65:$C$374,0),1)</f>
        <v>#N/A</v>
      </c>
      <c r="C623" s="150"/>
      <c r="D623" s="150"/>
      <c r="E623" s="388" t="str">
        <f>IFERROR(VLOOKUP($D623,'Состав ВТК'!$B$9:$I$108,8,FALSE),"-")</f>
        <v>-</v>
      </c>
      <c r="F623" s="376" t="str">
        <f>IFERROR(INDEX(Работы!$D$65:$D$374,MATCH(C623,Работы!$C$65:$C$374,0),1),"-")</f>
        <v>-</v>
      </c>
      <c r="G623" s="390"/>
      <c r="H623" s="390"/>
      <c r="K623" s="356"/>
    </row>
    <row r="624" spans="1:11" x14ac:dyDescent="0.25">
      <c r="A624" s="394" t="s">
        <v>17</v>
      </c>
      <c r="B624" s="389" t="e">
        <f>INDEX(Работы!$B$65:$B$374,MATCH(C624,Работы!$C$65:$C$374,0),1)</f>
        <v>#N/A</v>
      </c>
      <c r="C624" s="150"/>
      <c r="D624" s="150"/>
      <c r="E624" s="388" t="str">
        <f>IFERROR(VLOOKUP($D624,'Состав ВТК'!$B$9:$I$108,8,FALSE),"-")</f>
        <v>-</v>
      </c>
      <c r="F624" s="376" t="str">
        <f>IFERROR(INDEX(Работы!$D$65:$D$374,MATCH(C624,Работы!$C$65:$C$374,0),1),"-")</f>
        <v>-</v>
      </c>
      <c r="G624" s="390"/>
      <c r="H624" s="390"/>
      <c r="K624" s="356"/>
    </row>
    <row r="625" spans="1:11" x14ac:dyDescent="0.25">
      <c r="A625" s="394" t="s">
        <v>17</v>
      </c>
      <c r="B625" s="389" t="e">
        <f>INDEX(Работы!$B$65:$B$374,MATCH(C625,Работы!$C$65:$C$374,0),1)</f>
        <v>#N/A</v>
      </c>
      <c r="C625" s="150"/>
      <c r="D625" s="150"/>
      <c r="E625" s="388" t="str">
        <f>IFERROR(VLOOKUP($D625,'Состав ВТК'!$B$9:$I$108,8,FALSE),"-")</f>
        <v>-</v>
      </c>
      <c r="F625" s="376" t="str">
        <f>IFERROR(INDEX(Работы!$D$65:$D$374,MATCH(C625,Работы!$C$65:$C$374,0),1),"-")</f>
        <v>-</v>
      </c>
      <c r="G625" s="390"/>
      <c r="H625" s="390"/>
      <c r="K625" s="356"/>
    </row>
    <row r="626" spans="1:11" x14ac:dyDescent="0.25">
      <c r="A626" s="394" t="s">
        <v>17</v>
      </c>
      <c r="B626" s="389" t="e">
        <f>INDEX(Работы!$B$65:$B$374,MATCH(C626,Работы!$C$65:$C$374,0),1)</f>
        <v>#N/A</v>
      </c>
      <c r="C626" s="150"/>
      <c r="D626" s="150"/>
      <c r="E626" s="388" t="str">
        <f>IFERROR(VLOOKUP($D626,'Состав ВТК'!$B$9:$I$108,8,FALSE),"-")</f>
        <v>-</v>
      </c>
      <c r="F626" s="376" t="str">
        <f>IFERROR(INDEX(Работы!$D$65:$D$374,MATCH(C626,Работы!$C$65:$C$374,0),1),"-")</f>
        <v>-</v>
      </c>
      <c r="G626" s="390"/>
      <c r="H626" s="390"/>
      <c r="K626" s="356"/>
    </row>
    <row r="627" spans="1:11" x14ac:dyDescent="0.25">
      <c r="A627" s="394" t="s">
        <v>17</v>
      </c>
      <c r="B627" s="389" t="e">
        <f>INDEX(Работы!$B$65:$B$374,MATCH(C627,Работы!$C$65:$C$374,0),1)</f>
        <v>#N/A</v>
      </c>
      <c r="C627" s="150"/>
      <c r="D627" s="150"/>
      <c r="E627" s="388" t="str">
        <f>IFERROR(VLOOKUP($D627,'Состав ВТК'!$B$9:$I$108,8,FALSE),"-")</f>
        <v>-</v>
      </c>
      <c r="F627" s="376" t="str">
        <f>IFERROR(INDEX(Работы!$D$65:$D$374,MATCH(C627,Работы!$C$65:$C$374,0),1),"-")</f>
        <v>-</v>
      </c>
      <c r="G627" s="390"/>
      <c r="H627" s="390"/>
      <c r="K627" s="356"/>
    </row>
    <row r="628" spans="1:11" x14ac:dyDescent="0.25">
      <c r="A628" s="394" t="s">
        <v>17</v>
      </c>
      <c r="B628" s="389" t="e">
        <f>INDEX(Работы!$B$65:$B$374,MATCH(C628,Работы!$C$65:$C$374,0),1)</f>
        <v>#N/A</v>
      </c>
      <c r="C628" s="150"/>
      <c r="D628" s="150"/>
      <c r="E628" s="388" t="str">
        <f>IFERROR(VLOOKUP($D628,'Состав ВТК'!$B$9:$I$108,8,FALSE),"-")</f>
        <v>-</v>
      </c>
      <c r="F628" s="376" t="str">
        <f>IFERROR(INDEX(Работы!$D$65:$D$374,MATCH(C628,Работы!$C$65:$C$374,0),1),"-")</f>
        <v>-</v>
      </c>
      <c r="G628" s="390"/>
      <c r="H628" s="390"/>
      <c r="K628" s="356"/>
    </row>
    <row r="629" spans="1:11" x14ac:dyDescent="0.25">
      <c r="A629" s="394" t="s">
        <v>17</v>
      </c>
      <c r="B629" s="389" t="e">
        <f>INDEX(Работы!$B$65:$B$374,MATCH(C629,Работы!$C$65:$C$374,0),1)</f>
        <v>#N/A</v>
      </c>
      <c r="C629" s="150"/>
      <c r="D629" s="150"/>
      <c r="E629" s="388" t="str">
        <f>IFERROR(VLOOKUP($D629,'Состав ВТК'!$B$9:$I$108,8,FALSE),"-")</f>
        <v>-</v>
      </c>
      <c r="F629" s="376" t="str">
        <f>IFERROR(INDEX(Работы!$D$65:$D$374,MATCH(C629,Работы!$C$65:$C$374,0),1),"-")</f>
        <v>-</v>
      </c>
      <c r="G629" s="390"/>
      <c r="H629" s="390"/>
      <c r="K629" s="356"/>
    </row>
    <row r="630" spans="1:11" x14ac:dyDescent="0.25">
      <c r="A630" s="394" t="s">
        <v>17</v>
      </c>
      <c r="B630" s="389" t="e">
        <f>INDEX(Работы!$B$65:$B$374,MATCH(C630,Работы!$C$65:$C$374,0),1)</f>
        <v>#N/A</v>
      </c>
      <c r="C630" s="150"/>
      <c r="D630" s="150"/>
      <c r="E630" s="388" t="str">
        <f>IFERROR(VLOOKUP($D630,'Состав ВТК'!$B$9:$I$108,8,FALSE),"-")</f>
        <v>-</v>
      </c>
      <c r="F630" s="376" t="str">
        <f>IFERROR(INDEX(Работы!$D$65:$D$374,MATCH(C630,Работы!$C$65:$C$374,0),1),"-")</f>
        <v>-</v>
      </c>
      <c r="G630" s="390"/>
      <c r="H630" s="390"/>
      <c r="K630" s="356"/>
    </row>
    <row r="631" spans="1:11" x14ac:dyDescent="0.25">
      <c r="A631" s="394" t="s">
        <v>17</v>
      </c>
      <c r="B631" s="389" t="e">
        <f>INDEX(Работы!$B$65:$B$374,MATCH(C631,Работы!$C$65:$C$374,0),1)</f>
        <v>#N/A</v>
      </c>
      <c r="C631" s="150"/>
      <c r="D631" s="150"/>
      <c r="E631" s="388" t="str">
        <f>IFERROR(VLOOKUP($D631,'Состав ВТК'!$B$9:$I$108,8,FALSE),"-")</f>
        <v>-</v>
      </c>
      <c r="F631" s="376" t="str">
        <f>IFERROR(INDEX(Работы!$D$65:$D$374,MATCH(C631,Работы!$C$65:$C$374,0),1),"-")</f>
        <v>-</v>
      </c>
      <c r="G631" s="390"/>
      <c r="H631" s="390"/>
      <c r="K631" s="356"/>
    </row>
    <row r="632" spans="1:11" x14ac:dyDescent="0.25">
      <c r="A632" s="394" t="s">
        <v>17</v>
      </c>
      <c r="B632" s="389" t="e">
        <f>INDEX(Работы!$B$65:$B$374,MATCH(C632,Работы!$C$65:$C$374,0),1)</f>
        <v>#N/A</v>
      </c>
      <c r="C632" s="150"/>
      <c r="D632" s="150"/>
      <c r="E632" s="388" t="str">
        <f>IFERROR(VLOOKUP($D632,'Состав ВТК'!$B$9:$I$108,8,FALSE),"-")</f>
        <v>-</v>
      </c>
      <c r="F632" s="376" t="str">
        <f>IFERROR(INDEX(Работы!$D$65:$D$374,MATCH(C632,Работы!$C$65:$C$374,0),1),"-")</f>
        <v>-</v>
      </c>
      <c r="G632" s="390"/>
      <c r="H632" s="390"/>
      <c r="K632" s="356"/>
    </row>
    <row r="633" spans="1:11" x14ac:dyDescent="0.25">
      <c r="A633" s="394" t="s">
        <v>17</v>
      </c>
      <c r="B633" s="389" t="e">
        <f>INDEX(Работы!$B$65:$B$374,MATCH(C633,Работы!$C$65:$C$374,0),1)</f>
        <v>#N/A</v>
      </c>
      <c r="C633" s="150"/>
      <c r="D633" s="150"/>
      <c r="E633" s="388" t="str">
        <f>IFERROR(VLOOKUP($D633,'Состав ВТК'!$B$9:$I$108,8,FALSE),"-")</f>
        <v>-</v>
      </c>
      <c r="F633" s="376" t="str">
        <f>IFERROR(INDEX(Работы!$D$65:$D$374,MATCH(C633,Работы!$C$65:$C$374,0),1),"-")</f>
        <v>-</v>
      </c>
      <c r="G633" s="390"/>
      <c r="H633" s="390"/>
      <c r="K633" s="356"/>
    </row>
    <row r="634" spans="1:11" x14ac:dyDescent="0.25">
      <c r="A634" s="394" t="s">
        <v>17</v>
      </c>
      <c r="B634" s="389" t="e">
        <f>INDEX(Работы!$B$65:$B$374,MATCH(C634,Работы!$C$65:$C$374,0),1)</f>
        <v>#N/A</v>
      </c>
      <c r="C634" s="150"/>
      <c r="D634" s="150"/>
      <c r="E634" s="388" t="str">
        <f>IFERROR(VLOOKUP($D634,'Состав ВТК'!$B$9:$I$108,8,FALSE),"-")</f>
        <v>-</v>
      </c>
      <c r="F634" s="376" t="str">
        <f>IFERROR(INDEX(Работы!$D$65:$D$374,MATCH(C634,Работы!$C$65:$C$374,0),1),"-")</f>
        <v>-</v>
      </c>
      <c r="G634" s="390"/>
      <c r="H634" s="390"/>
      <c r="K634" s="356"/>
    </row>
    <row r="635" spans="1:11" x14ac:dyDescent="0.25">
      <c r="A635" s="394" t="s">
        <v>17</v>
      </c>
      <c r="B635" s="389" t="e">
        <f>INDEX(Работы!$B$65:$B$374,MATCH(C635,Работы!$C$65:$C$374,0),1)</f>
        <v>#N/A</v>
      </c>
      <c r="C635" s="150"/>
      <c r="D635" s="150"/>
      <c r="E635" s="388" t="str">
        <f>IFERROR(VLOOKUP($D635,'Состав ВТК'!$B$9:$I$108,8,FALSE),"-")</f>
        <v>-</v>
      </c>
      <c r="F635" s="376" t="str">
        <f>IFERROR(INDEX(Работы!$D$65:$D$374,MATCH(C635,Работы!$C$65:$C$374,0),1),"-")</f>
        <v>-</v>
      </c>
      <c r="G635" s="390"/>
      <c r="H635" s="390"/>
      <c r="K635" s="356"/>
    </row>
    <row r="636" spans="1:11" x14ac:dyDescent="0.25">
      <c r="A636" s="394" t="s">
        <v>17</v>
      </c>
      <c r="B636" s="389" t="e">
        <f>INDEX(Работы!$B$65:$B$374,MATCH(C636,Работы!$C$65:$C$374,0),1)</f>
        <v>#N/A</v>
      </c>
      <c r="C636" s="150"/>
      <c r="D636" s="150"/>
      <c r="E636" s="388" t="str">
        <f>IFERROR(VLOOKUP($D636,'Состав ВТК'!$B$9:$I$108,8,FALSE),"-")</f>
        <v>-</v>
      </c>
      <c r="F636" s="376" t="str">
        <f>IFERROR(INDEX(Работы!$D$65:$D$374,MATCH(C636,Работы!$C$65:$C$374,0),1),"-")</f>
        <v>-</v>
      </c>
      <c r="G636" s="390"/>
      <c r="H636" s="390"/>
      <c r="K636" s="356"/>
    </row>
    <row r="637" spans="1:11" x14ac:dyDescent="0.25">
      <c r="A637" s="394" t="s">
        <v>17</v>
      </c>
      <c r="B637" s="389" t="e">
        <f>INDEX(Работы!$B$65:$B$374,MATCH(C637,Работы!$C$65:$C$374,0),1)</f>
        <v>#N/A</v>
      </c>
      <c r="C637" s="150"/>
      <c r="D637" s="150"/>
      <c r="E637" s="388" t="str">
        <f>IFERROR(VLOOKUP($D637,'Состав ВТК'!$B$9:$I$108,8,FALSE),"-")</f>
        <v>-</v>
      </c>
      <c r="F637" s="376" t="str">
        <f>IFERROR(INDEX(Работы!$D$65:$D$374,MATCH(C637,Работы!$C$65:$C$374,0),1),"-")</f>
        <v>-</v>
      </c>
      <c r="G637" s="390"/>
      <c r="H637" s="390"/>
      <c r="K637" s="356"/>
    </row>
    <row r="638" spans="1:11" x14ac:dyDescent="0.25">
      <c r="A638" s="394" t="s">
        <v>17</v>
      </c>
      <c r="B638" s="389" t="e">
        <f>INDEX(Работы!$B$65:$B$374,MATCH(C638,Работы!$C$65:$C$374,0),1)</f>
        <v>#N/A</v>
      </c>
      <c r="C638" s="150"/>
      <c r="D638" s="150"/>
      <c r="E638" s="388" t="str">
        <f>IFERROR(VLOOKUP($D638,'Состав ВТК'!$B$9:$I$108,8,FALSE),"-")</f>
        <v>-</v>
      </c>
      <c r="F638" s="376" t="str">
        <f>IFERROR(INDEX(Работы!$D$65:$D$374,MATCH(C638,Работы!$C$65:$C$374,0),1),"-")</f>
        <v>-</v>
      </c>
      <c r="G638" s="390"/>
      <c r="H638" s="390"/>
      <c r="K638" s="356"/>
    </row>
    <row r="639" spans="1:11" x14ac:dyDescent="0.25">
      <c r="A639" s="394" t="s">
        <v>17</v>
      </c>
      <c r="B639" s="389" t="e">
        <f>INDEX(Работы!$B$65:$B$374,MATCH(C639,Работы!$C$65:$C$374,0),1)</f>
        <v>#N/A</v>
      </c>
      <c r="C639" s="150"/>
      <c r="D639" s="150"/>
      <c r="E639" s="388" t="str">
        <f>IFERROR(VLOOKUP($D639,'Состав ВТК'!$B$9:$I$108,8,FALSE),"-")</f>
        <v>-</v>
      </c>
      <c r="F639" s="376" t="str">
        <f>IFERROR(INDEX(Работы!$D$65:$D$374,MATCH(C639,Работы!$C$65:$C$374,0),1),"-")</f>
        <v>-</v>
      </c>
      <c r="G639" s="390"/>
      <c r="H639" s="390"/>
      <c r="K639" s="356"/>
    </row>
    <row r="640" spans="1:11" x14ac:dyDescent="0.25">
      <c r="A640" s="394" t="s">
        <v>17</v>
      </c>
      <c r="B640" s="389" t="e">
        <f>INDEX(Работы!$B$65:$B$374,MATCH(C640,Работы!$C$65:$C$374,0),1)</f>
        <v>#N/A</v>
      </c>
      <c r="C640" s="150"/>
      <c r="D640" s="150"/>
      <c r="E640" s="388" t="str">
        <f>IFERROR(VLOOKUP($D640,'Состав ВТК'!$B$9:$I$108,8,FALSE),"-")</f>
        <v>-</v>
      </c>
      <c r="F640" s="376" t="str">
        <f>IFERROR(INDEX(Работы!$D$65:$D$374,MATCH(C640,Работы!$C$65:$C$374,0),1),"-")</f>
        <v>-</v>
      </c>
      <c r="G640" s="390"/>
      <c r="H640" s="390"/>
      <c r="K640" s="356"/>
    </row>
    <row r="641" spans="1:11" x14ac:dyDescent="0.25">
      <c r="A641" s="394" t="s">
        <v>17</v>
      </c>
      <c r="B641" s="389" t="e">
        <f>INDEX(Работы!$B$65:$B$374,MATCH(C641,Работы!$C$65:$C$374,0),1)</f>
        <v>#N/A</v>
      </c>
      <c r="C641" s="150"/>
      <c r="D641" s="150"/>
      <c r="E641" s="388" t="str">
        <f>IFERROR(VLOOKUP($D641,'Состав ВТК'!$B$9:$I$108,8,FALSE),"-")</f>
        <v>-</v>
      </c>
      <c r="F641" s="376" t="str">
        <f>IFERROR(INDEX(Работы!$D$65:$D$374,MATCH(C641,Работы!$C$65:$C$374,0),1),"-")</f>
        <v>-</v>
      </c>
      <c r="G641" s="390"/>
      <c r="H641" s="390"/>
      <c r="K641" s="356"/>
    </row>
    <row r="642" spans="1:11" x14ac:dyDescent="0.25">
      <c r="A642" s="394" t="s">
        <v>17</v>
      </c>
      <c r="B642" s="389" t="e">
        <f>INDEX(Работы!$B$65:$B$374,MATCH(C642,Работы!$C$65:$C$374,0),1)</f>
        <v>#N/A</v>
      </c>
      <c r="C642" s="150"/>
      <c r="D642" s="150"/>
      <c r="E642" s="388" t="str">
        <f>IFERROR(VLOOKUP($D642,'Состав ВТК'!$B$9:$I$108,8,FALSE),"-")</f>
        <v>-</v>
      </c>
      <c r="F642" s="376" t="str">
        <f>IFERROR(INDEX(Работы!$D$65:$D$374,MATCH(C642,Работы!$C$65:$C$374,0),1),"-")</f>
        <v>-</v>
      </c>
      <c r="G642" s="390"/>
      <c r="H642" s="390"/>
      <c r="K642" s="356"/>
    </row>
    <row r="643" spans="1:11" x14ac:dyDescent="0.25">
      <c r="A643" s="394" t="s">
        <v>17</v>
      </c>
      <c r="B643" s="389" t="e">
        <f>INDEX(Работы!$B$65:$B$374,MATCH(C643,Работы!$C$65:$C$374,0),1)</f>
        <v>#N/A</v>
      </c>
      <c r="C643" s="150"/>
      <c r="D643" s="150"/>
      <c r="E643" s="388" t="str">
        <f>IFERROR(VLOOKUP($D643,'Состав ВТК'!$B$9:$I$108,8,FALSE),"-")</f>
        <v>-</v>
      </c>
      <c r="F643" s="376" t="str">
        <f>IFERROR(INDEX(Работы!$D$65:$D$374,MATCH(C643,Работы!$C$65:$C$374,0),1),"-")</f>
        <v>-</v>
      </c>
      <c r="G643" s="390"/>
      <c r="H643" s="390"/>
      <c r="K643" s="356"/>
    </row>
    <row r="644" spans="1:11" x14ac:dyDescent="0.25">
      <c r="A644" s="394" t="s">
        <v>17</v>
      </c>
      <c r="B644" s="389" t="e">
        <f>INDEX(Работы!$B$65:$B$374,MATCH(C644,Работы!$C$65:$C$374,0),1)</f>
        <v>#N/A</v>
      </c>
      <c r="C644" s="150"/>
      <c r="D644" s="150"/>
      <c r="E644" s="388" t="str">
        <f>IFERROR(VLOOKUP($D644,'Состав ВТК'!$B$9:$I$108,8,FALSE),"-")</f>
        <v>-</v>
      </c>
      <c r="F644" s="376" t="str">
        <f>IFERROR(INDEX(Работы!$D$65:$D$374,MATCH(C644,Работы!$C$65:$C$374,0),1),"-")</f>
        <v>-</v>
      </c>
      <c r="G644" s="390"/>
      <c r="H644" s="390"/>
      <c r="K644" s="356"/>
    </row>
    <row r="645" spans="1:11" x14ac:dyDescent="0.25">
      <c r="A645" s="394" t="s">
        <v>17</v>
      </c>
      <c r="B645" s="389" t="e">
        <f>INDEX(Работы!$B$65:$B$374,MATCH(C645,Работы!$C$65:$C$374,0),1)</f>
        <v>#N/A</v>
      </c>
      <c r="C645" s="150"/>
      <c r="D645" s="150"/>
      <c r="E645" s="388" t="str">
        <f>IFERROR(VLOOKUP($D645,'Состав ВТК'!$B$9:$I$108,8,FALSE),"-")</f>
        <v>-</v>
      </c>
      <c r="F645" s="376" t="str">
        <f>IFERROR(INDEX(Работы!$D$65:$D$374,MATCH(C645,Работы!$C$65:$C$374,0),1),"-")</f>
        <v>-</v>
      </c>
      <c r="G645" s="390"/>
      <c r="H645" s="390"/>
      <c r="K645" s="356"/>
    </row>
    <row r="646" spans="1:11" x14ac:dyDescent="0.25">
      <c r="A646" s="394" t="s">
        <v>17</v>
      </c>
      <c r="B646" s="389" t="e">
        <f>INDEX(Работы!$B$65:$B$374,MATCH(C646,Работы!$C$65:$C$374,0),1)</f>
        <v>#N/A</v>
      </c>
      <c r="C646" s="150"/>
      <c r="D646" s="150"/>
      <c r="E646" s="388" t="str">
        <f>IFERROR(VLOOKUP($D646,'Состав ВТК'!$B$9:$I$108,8,FALSE),"-")</f>
        <v>-</v>
      </c>
      <c r="F646" s="376" t="str">
        <f>IFERROR(INDEX(Работы!$D$65:$D$374,MATCH(C646,Работы!$C$65:$C$374,0),1),"-")</f>
        <v>-</v>
      </c>
      <c r="G646" s="390"/>
      <c r="H646" s="390"/>
      <c r="K646" s="356"/>
    </row>
    <row r="647" spans="1:11" x14ac:dyDescent="0.25">
      <c r="A647" s="394" t="s">
        <v>17</v>
      </c>
      <c r="B647" s="389" t="e">
        <f>INDEX(Работы!$B$65:$B$374,MATCH(C647,Работы!$C$65:$C$374,0),1)</f>
        <v>#N/A</v>
      </c>
      <c r="C647" s="150"/>
      <c r="D647" s="150"/>
      <c r="E647" s="388" t="str">
        <f>IFERROR(VLOOKUP($D647,'Состав ВТК'!$B$9:$I$108,8,FALSE),"-")</f>
        <v>-</v>
      </c>
      <c r="F647" s="376" t="str">
        <f>IFERROR(INDEX(Работы!$D$65:$D$374,MATCH(C647,Работы!$C$65:$C$374,0),1),"-")</f>
        <v>-</v>
      </c>
      <c r="G647" s="390"/>
      <c r="H647" s="390"/>
      <c r="K647" s="356"/>
    </row>
    <row r="648" spans="1:11" x14ac:dyDescent="0.25">
      <c r="A648" s="394" t="s">
        <v>17</v>
      </c>
      <c r="B648" s="389" t="e">
        <f>INDEX(Работы!$B$65:$B$374,MATCH(C648,Работы!$C$65:$C$374,0),1)</f>
        <v>#N/A</v>
      </c>
      <c r="C648" s="150"/>
      <c r="D648" s="150"/>
      <c r="E648" s="388" t="str">
        <f>IFERROR(VLOOKUP($D648,'Состав ВТК'!$B$9:$I$108,8,FALSE),"-")</f>
        <v>-</v>
      </c>
      <c r="F648" s="376" t="str">
        <f>IFERROR(INDEX(Работы!$D$65:$D$374,MATCH(C648,Работы!$C$65:$C$374,0),1),"-")</f>
        <v>-</v>
      </c>
      <c r="G648" s="390"/>
      <c r="H648" s="390"/>
      <c r="K648" s="356"/>
    </row>
    <row r="649" spans="1:11" x14ac:dyDescent="0.25">
      <c r="A649" s="394" t="s">
        <v>17</v>
      </c>
      <c r="B649" s="389" t="e">
        <f>INDEX(Работы!$B$65:$B$374,MATCH(C649,Работы!$C$65:$C$374,0),1)</f>
        <v>#N/A</v>
      </c>
      <c r="C649" s="150"/>
      <c r="D649" s="150"/>
      <c r="E649" s="388" t="str">
        <f>IFERROR(VLOOKUP($D649,'Состав ВТК'!$B$9:$I$108,8,FALSE),"-")</f>
        <v>-</v>
      </c>
      <c r="F649" s="376" t="str">
        <f>IFERROR(INDEX(Работы!$D$65:$D$374,MATCH(C649,Работы!$C$65:$C$374,0),1),"-")</f>
        <v>-</v>
      </c>
      <c r="G649" s="390"/>
      <c r="H649" s="390"/>
      <c r="K649" s="356"/>
    </row>
    <row r="650" spans="1:11" x14ac:dyDescent="0.25">
      <c r="A650" s="394" t="s">
        <v>17</v>
      </c>
      <c r="B650" s="389" t="e">
        <f>INDEX(Работы!$B$65:$B$374,MATCH(C650,Работы!$C$65:$C$374,0),1)</f>
        <v>#N/A</v>
      </c>
      <c r="C650" s="150"/>
      <c r="D650" s="150"/>
      <c r="E650" s="388" t="str">
        <f>IFERROR(VLOOKUP($D650,'Состав ВТК'!$B$9:$I$108,8,FALSE),"-")</f>
        <v>-</v>
      </c>
      <c r="F650" s="376" t="str">
        <f>IFERROR(INDEX(Работы!$D$65:$D$374,MATCH(C650,Работы!$C$65:$C$374,0),1),"-")</f>
        <v>-</v>
      </c>
      <c r="G650" s="390"/>
      <c r="H650" s="390"/>
      <c r="K650" s="356"/>
    </row>
    <row r="651" spans="1:11" x14ac:dyDescent="0.25">
      <c r="A651" s="394" t="s">
        <v>17</v>
      </c>
      <c r="B651" s="389" t="e">
        <f>INDEX(Работы!$B$65:$B$374,MATCH(C651,Работы!$C$65:$C$374,0),1)</f>
        <v>#N/A</v>
      </c>
      <c r="C651" s="150"/>
      <c r="D651" s="150"/>
      <c r="E651" s="388" t="str">
        <f>IFERROR(VLOOKUP($D651,'Состав ВТК'!$B$9:$I$108,8,FALSE),"-")</f>
        <v>-</v>
      </c>
      <c r="F651" s="376" t="str">
        <f>IFERROR(INDEX(Работы!$D$65:$D$374,MATCH(C651,Работы!$C$65:$C$374,0),1),"-")</f>
        <v>-</v>
      </c>
      <c r="G651" s="390"/>
      <c r="H651" s="390"/>
      <c r="K651" s="356"/>
    </row>
    <row r="652" spans="1:11" x14ac:dyDescent="0.25">
      <c r="A652" s="394" t="s">
        <v>17</v>
      </c>
      <c r="B652" s="389" t="e">
        <f>INDEX(Работы!$B$65:$B$374,MATCH(C652,Работы!$C$65:$C$374,0),1)</f>
        <v>#N/A</v>
      </c>
      <c r="C652" s="150"/>
      <c r="D652" s="150"/>
      <c r="E652" s="388" t="str">
        <f>IFERROR(VLOOKUP($D652,'Состав ВТК'!$B$9:$I$108,8,FALSE),"-")</f>
        <v>-</v>
      </c>
      <c r="F652" s="376" t="str">
        <f>IFERROR(INDEX(Работы!$D$65:$D$374,MATCH(C652,Работы!$C$65:$C$374,0),1),"-")</f>
        <v>-</v>
      </c>
      <c r="G652" s="390"/>
      <c r="H652" s="390"/>
      <c r="K652" s="356"/>
    </row>
    <row r="653" spans="1:11" x14ac:dyDescent="0.25">
      <c r="A653" s="394" t="s">
        <v>17</v>
      </c>
      <c r="B653" s="389" t="e">
        <f>INDEX(Работы!$B$65:$B$374,MATCH(C653,Работы!$C$65:$C$374,0),1)</f>
        <v>#N/A</v>
      </c>
      <c r="C653" s="150"/>
      <c r="D653" s="150"/>
      <c r="E653" s="388" t="str">
        <f>IFERROR(VLOOKUP($D653,'Состав ВТК'!$B$9:$I$108,8,FALSE),"-")</f>
        <v>-</v>
      </c>
      <c r="F653" s="376" t="str">
        <f>IFERROR(INDEX(Работы!$D$65:$D$374,MATCH(C653,Работы!$C$65:$C$374,0),1),"-")</f>
        <v>-</v>
      </c>
      <c r="G653" s="390"/>
      <c r="H653" s="390"/>
      <c r="K653" s="356"/>
    </row>
    <row r="654" spans="1:11" x14ac:dyDescent="0.25">
      <c r="A654" s="394" t="s">
        <v>17</v>
      </c>
      <c r="B654" s="389" t="e">
        <f>INDEX(Работы!$B$65:$B$374,MATCH(C654,Работы!$C$65:$C$374,0),1)</f>
        <v>#N/A</v>
      </c>
      <c r="C654" s="150"/>
      <c r="D654" s="150"/>
      <c r="E654" s="388" t="str">
        <f>IFERROR(VLOOKUP($D654,'Состав ВТК'!$B$9:$I$108,8,FALSE),"-")</f>
        <v>-</v>
      </c>
      <c r="F654" s="376" t="str">
        <f>IFERROR(INDEX(Работы!$D$65:$D$374,MATCH(C654,Работы!$C$65:$C$374,0),1),"-")</f>
        <v>-</v>
      </c>
      <c r="G654" s="390"/>
      <c r="H654" s="390"/>
      <c r="K654" s="356"/>
    </row>
    <row r="655" spans="1:11" x14ac:dyDescent="0.25">
      <c r="A655" s="394" t="s">
        <v>17</v>
      </c>
      <c r="B655" s="389" t="e">
        <f>INDEX(Работы!$B$65:$B$374,MATCH(C655,Работы!$C$65:$C$374,0),1)</f>
        <v>#N/A</v>
      </c>
      <c r="C655" s="150"/>
      <c r="D655" s="150"/>
      <c r="E655" s="388" t="str">
        <f>IFERROR(VLOOKUP($D655,'Состав ВТК'!$B$9:$I$108,8,FALSE),"-")</f>
        <v>-</v>
      </c>
      <c r="F655" s="376" t="str">
        <f>IFERROR(INDEX(Работы!$D$65:$D$374,MATCH(C655,Работы!$C$65:$C$374,0),1),"-")</f>
        <v>-</v>
      </c>
      <c r="G655" s="390"/>
      <c r="H655" s="390"/>
      <c r="K655" s="356"/>
    </row>
    <row r="656" spans="1:11" x14ac:dyDescent="0.25">
      <c r="A656" s="394" t="s">
        <v>17</v>
      </c>
      <c r="B656" s="389" t="e">
        <f>INDEX(Работы!$B$65:$B$374,MATCH(C656,Работы!$C$65:$C$374,0),1)</f>
        <v>#N/A</v>
      </c>
      <c r="C656" s="150"/>
      <c r="D656" s="150"/>
      <c r="E656" s="388" t="str">
        <f>IFERROR(VLOOKUP($D656,'Состав ВТК'!$B$9:$I$108,8,FALSE),"-")</f>
        <v>-</v>
      </c>
      <c r="F656" s="376" t="str">
        <f>IFERROR(INDEX(Работы!$D$65:$D$374,MATCH(C656,Работы!$C$65:$C$374,0),1),"-")</f>
        <v>-</v>
      </c>
      <c r="G656" s="390"/>
      <c r="H656" s="390"/>
      <c r="K656" s="356"/>
    </row>
    <row r="657" spans="1:11" x14ac:dyDescent="0.25">
      <c r="A657" s="394" t="s">
        <v>17</v>
      </c>
      <c r="B657" s="389" t="e">
        <f>INDEX(Работы!$B$65:$B$374,MATCH(C657,Работы!$C$65:$C$374,0),1)</f>
        <v>#N/A</v>
      </c>
      <c r="C657" s="150"/>
      <c r="D657" s="150"/>
      <c r="E657" s="388" t="str">
        <f>IFERROR(VLOOKUP($D657,'Состав ВТК'!$B$9:$I$108,8,FALSE),"-")</f>
        <v>-</v>
      </c>
      <c r="F657" s="376" t="str">
        <f>IFERROR(INDEX(Работы!$D$65:$D$374,MATCH(C657,Работы!$C$65:$C$374,0),1),"-")</f>
        <v>-</v>
      </c>
      <c r="G657" s="390"/>
      <c r="H657" s="390"/>
      <c r="K657" s="356"/>
    </row>
    <row r="658" spans="1:11" x14ac:dyDescent="0.25">
      <c r="A658" s="394" t="s">
        <v>17</v>
      </c>
      <c r="B658" s="389" t="e">
        <f>INDEX(Работы!$B$65:$B$374,MATCH(C658,Работы!$C$65:$C$374,0),1)</f>
        <v>#N/A</v>
      </c>
      <c r="C658" s="150"/>
      <c r="D658" s="150"/>
      <c r="E658" s="388" t="str">
        <f>IFERROR(VLOOKUP($D658,'Состав ВТК'!$B$9:$I$108,8,FALSE),"-")</f>
        <v>-</v>
      </c>
      <c r="F658" s="376" t="str">
        <f>IFERROR(INDEX(Работы!$D$65:$D$374,MATCH(C658,Работы!$C$65:$C$374,0),1),"-")</f>
        <v>-</v>
      </c>
      <c r="G658" s="390"/>
      <c r="H658" s="390"/>
      <c r="K658" s="356"/>
    </row>
    <row r="659" spans="1:11" x14ac:dyDescent="0.25">
      <c r="A659" s="394" t="s">
        <v>17</v>
      </c>
      <c r="B659" s="389" t="e">
        <f>INDEX(Работы!$B$65:$B$374,MATCH(C659,Работы!$C$65:$C$374,0),1)</f>
        <v>#N/A</v>
      </c>
      <c r="C659" s="150"/>
      <c r="D659" s="150"/>
      <c r="E659" s="388" t="str">
        <f>IFERROR(VLOOKUP($D659,'Состав ВТК'!$B$9:$I$108,8,FALSE),"-")</f>
        <v>-</v>
      </c>
      <c r="F659" s="376" t="str">
        <f>IFERROR(INDEX(Работы!$D$65:$D$374,MATCH(C659,Работы!$C$65:$C$374,0),1),"-")</f>
        <v>-</v>
      </c>
      <c r="G659" s="390"/>
      <c r="H659" s="390"/>
      <c r="K659" s="356"/>
    </row>
    <row r="660" spans="1:11" x14ac:dyDescent="0.25">
      <c r="A660" s="394" t="s">
        <v>17</v>
      </c>
      <c r="B660" s="389" t="e">
        <f>INDEX(Работы!$B$65:$B$374,MATCH(C660,Работы!$C$65:$C$374,0),1)</f>
        <v>#N/A</v>
      </c>
      <c r="C660" s="150"/>
      <c r="D660" s="150"/>
      <c r="E660" s="388" t="str">
        <f>IFERROR(VLOOKUP($D660,'Состав ВТК'!$B$9:$I$108,8,FALSE),"-")</f>
        <v>-</v>
      </c>
      <c r="F660" s="376" t="str">
        <f>IFERROR(INDEX(Работы!$D$65:$D$374,MATCH(C660,Работы!$C$65:$C$374,0),1),"-")</f>
        <v>-</v>
      </c>
      <c r="G660" s="390"/>
      <c r="H660" s="390"/>
      <c r="K660" s="356"/>
    </row>
    <row r="661" spans="1:11" x14ac:dyDescent="0.25">
      <c r="A661" s="394" t="s">
        <v>17</v>
      </c>
      <c r="B661" s="389" t="e">
        <f>INDEX(Работы!$B$65:$B$374,MATCH(C661,Работы!$C$65:$C$374,0),1)</f>
        <v>#N/A</v>
      </c>
      <c r="C661" s="150"/>
      <c r="D661" s="150"/>
      <c r="E661" s="388" t="str">
        <f>IFERROR(VLOOKUP($D661,'Состав ВТК'!$B$9:$I$108,8,FALSE),"-")</f>
        <v>-</v>
      </c>
      <c r="F661" s="376" t="str">
        <f>IFERROR(INDEX(Работы!$D$65:$D$374,MATCH(C661,Работы!$C$65:$C$374,0),1),"-")</f>
        <v>-</v>
      </c>
      <c r="G661" s="390"/>
      <c r="H661" s="390"/>
      <c r="K661" s="356"/>
    </row>
    <row r="662" spans="1:11" x14ac:dyDescent="0.25">
      <c r="A662" s="394" t="s">
        <v>17</v>
      </c>
      <c r="B662" s="389" t="e">
        <f>INDEX(Работы!$B$65:$B$374,MATCH(C662,Работы!$C$65:$C$374,0),1)</f>
        <v>#N/A</v>
      </c>
      <c r="C662" s="150"/>
      <c r="D662" s="150"/>
      <c r="E662" s="388" t="str">
        <f>IFERROR(VLOOKUP($D662,'Состав ВТК'!$B$9:$I$108,8,FALSE),"-")</f>
        <v>-</v>
      </c>
      <c r="F662" s="376" t="str">
        <f>IFERROR(INDEX(Работы!$D$65:$D$374,MATCH(C662,Работы!$C$65:$C$374,0),1),"-")</f>
        <v>-</v>
      </c>
      <c r="G662" s="390"/>
      <c r="H662" s="390"/>
      <c r="K662" s="356"/>
    </row>
    <row r="663" spans="1:11" x14ac:dyDescent="0.25">
      <c r="A663" s="394" t="s">
        <v>17</v>
      </c>
      <c r="B663" s="389" t="e">
        <f>INDEX(Работы!$B$65:$B$374,MATCH(C663,Работы!$C$65:$C$374,0),1)</f>
        <v>#N/A</v>
      </c>
      <c r="C663" s="150"/>
      <c r="D663" s="150"/>
      <c r="E663" s="388" t="str">
        <f>IFERROR(VLOOKUP($D663,'Состав ВТК'!$B$9:$I$108,8,FALSE),"-")</f>
        <v>-</v>
      </c>
      <c r="F663" s="376" t="str">
        <f>IFERROR(INDEX(Работы!$D$65:$D$374,MATCH(C663,Работы!$C$65:$C$374,0),1),"-")</f>
        <v>-</v>
      </c>
      <c r="G663" s="390"/>
      <c r="H663" s="390"/>
      <c r="K663" s="356"/>
    </row>
    <row r="664" spans="1:11" x14ac:dyDescent="0.25">
      <c r="A664" s="394" t="s">
        <v>17</v>
      </c>
      <c r="B664" s="389" t="e">
        <f>INDEX(Работы!$B$65:$B$374,MATCH(C664,Работы!$C$65:$C$374,0),1)</f>
        <v>#N/A</v>
      </c>
      <c r="C664" s="150"/>
      <c r="D664" s="150"/>
      <c r="E664" s="388" t="str">
        <f>IFERROR(VLOOKUP($D664,'Состав ВТК'!$B$9:$I$108,8,FALSE),"-")</f>
        <v>-</v>
      </c>
      <c r="F664" s="376" t="str">
        <f>IFERROR(INDEX(Работы!$D$65:$D$374,MATCH(C664,Работы!$C$65:$C$374,0),1),"-")</f>
        <v>-</v>
      </c>
      <c r="G664" s="390"/>
      <c r="H664" s="390"/>
      <c r="K664" s="356"/>
    </row>
    <row r="665" spans="1:11" x14ac:dyDescent="0.25">
      <c r="A665" s="394" t="s">
        <v>17</v>
      </c>
      <c r="B665" s="389" t="e">
        <f>INDEX(Работы!$B$65:$B$374,MATCH(C665,Работы!$C$65:$C$374,0),1)</f>
        <v>#N/A</v>
      </c>
      <c r="C665" s="150"/>
      <c r="D665" s="150"/>
      <c r="E665" s="388" t="str">
        <f>IFERROR(VLOOKUP($D665,'Состав ВТК'!$B$9:$I$108,8,FALSE),"-")</f>
        <v>-</v>
      </c>
      <c r="F665" s="376" t="str">
        <f>IFERROR(INDEX(Работы!$D$65:$D$374,MATCH(C665,Работы!$C$65:$C$374,0),1),"-")</f>
        <v>-</v>
      </c>
      <c r="G665" s="390"/>
      <c r="H665" s="390"/>
      <c r="K665" s="356"/>
    </row>
    <row r="666" spans="1:11" x14ac:dyDescent="0.25">
      <c r="A666" s="394" t="s">
        <v>17</v>
      </c>
      <c r="B666" s="389" t="e">
        <f>INDEX(Работы!$B$65:$B$374,MATCH(C666,Работы!$C$65:$C$374,0),1)</f>
        <v>#N/A</v>
      </c>
      <c r="C666" s="150"/>
      <c r="D666" s="150"/>
      <c r="E666" s="388" t="str">
        <f>IFERROR(VLOOKUP($D666,'Состав ВТК'!$B$9:$I$108,8,FALSE),"-")</f>
        <v>-</v>
      </c>
      <c r="F666" s="376" t="str">
        <f>IFERROR(INDEX(Работы!$D$65:$D$374,MATCH(C666,Работы!$C$65:$C$374,0),1),"-")</f>
        <v>-</v>
      </c>
      <c r="G666" s="390"/>
      <c r="H666" s="390"/>
      <c r="K666" s="356"/>
    </row>
    <row r="667" spans="1:11" x14ac:dyDescent="0.25">
      <c r="A667" s="394" t="s">
        <v>17</v>
      </c>
      <c r="B667" s="389" t="e">
        <f>INDEX(Работы!$B$65:$B$374,MATCH(C667,Работы!$C$65:$C$374,0),1)</f>
        <v>#N/A</v>
      </c>
      <c r="C667" s="150"/>
      <c r="D667" s="150"/>
      <c r="E667" s="388" t="str">
        <f>IFERROR(VLOOKUP($D667,'Состав ВТК'!$B$9:$I$108,8,FALSE),"-")</f>
        <v>-</v>
      </c>
      <c r="F667" s="376" t="str">
        <f>IFERROR(INDEX(Работы!$D$65:$D$374,MATCH(C667,Работы!$C$65:$C$374,0),1),"-")</f>
        <v>-</v>
      </c>
      <c r="G667" s="390"/>
      <c r="H667" s="390"/>
      <c r="K667" s="356"/>
    </row>
    <row r="668" spans="1:11" x14ac:dyDescent="0.25">
      <c r="A668" s="394" t="s">
        <v>17</v>
      </c>
      <c r="B668" s="389" t="e">
        <f>INDEX(Работы!$B$65:$B$374,MATCH(C668,Работы!$C$65:$C$374,0),1)</f>
        <v>#N/A</v>
      </c>
      <c r="C668" s="150"/>
      <c r="D668" s="150"/>
      <c r="E668" s="388" t="str">
        <f>IFERROR(VLOOKUP($D668,'Состав ВТК'!$B$9:$I$108,8,FALSE),"-")</f>
        <v>-</v>
      </c>
      <c r="F668" s="376" t="str">
        <f>IFERROR(INDEX(Работы!$D$65:$D$374,MATCH(C668,Работы!$C$65:$C$374,0),1),"-")</f>
        <v>-</v>
      </c>
      <c r="G668" s="390"/>
      <c r="H668" s="390"/>
      <c r="K668" s="356"/>
    </row>
    <row r="669" spans="1:11" x14ac:dyDescent="0.25">
      <c r="A669" s="394" t="s">
        <v>17</v>
      </c>
      <c r="B669" s="389" t="e">
        <f>INDEX(Работы!$B$65:$B$374,MATCH(C669,Работы!$C$65:$C$374,0),1)</f>
        <v>#N/A</v>
      </c>
      <c r="C669" s="150"/>
      <c r="D669" s="150"/>
      <c r="E669" s="388" t="str">
        <f>IFERROR(VLOOKUP($D669,'Состав ВТК'!$B$9:$I$108,8,FALSE),"-")</f>
        <v>-</v>
      </c>
      <c r="F669" s="376" t="str">
        <f>IFERROR(INDEX(Работы!$D$65:$D$374,MATCH(C669,Работы!$C$65:$C$374,0),1),"-")</f>
        <v>-</v>
      </c>
      <c r="G669" s="390"/>
      <c r="H669" s="390"/>
      <c r="K669" s="356"/>
    </row>
    <row r="670" spans="1:11" x14ac:dyDescent="0.25">
      <c r="A670" s="394" t="s">
        <v>17</v>
      </c>
      <c r="B670" s="389" t="e">
        <f>INDEX(Работы!$B$65:$B$374,MATCH(C670,Работы!$C$65:$C$374,0),1)</f>
        <v>#N/A</v>
      </c>
      <c r="C670" s="150"/>
      <c r="D670" s="150"/>
      <c r="E670" s="388" t="str">
        <f>IFERROR(VLOOKUP($D670,'Состав ВТК'!$B$9:$I$108,8,FALSE),"-")</f>
        <v>-</v>
      </c>
      <c r="F670" s="376" t="str">
        <f>IFERROR(INDEX(Работы!$D$65:$D$374,MATCH(C670,Работы!$C$65:$C$374,0),1),"-")</f>
        <v>-</v>
      </c>
      <c r="G670" s="390"/>
      <c r="H670" s="390"/>
      <c r="K670" s="356"/>
    </row>
    <row r="671" spans="1:11" x14ac:dyDescent="0.25">
      <c r="A671" s="394" t="s">
        <v>17</v>
      </c>
      <c r="B671" s="389" t="e">
        <f>INDEX(Работы!$B$65:$B$374,MATCH(C671,Работы!$C$65:$C$374,0),1)</f>
        <v>#N/A</v>
      </c>
      <c r="C671" s="150"/>
      <c r="D671" s="150"/>
      <c r="E671" s="388" t="str">
        <f>IFERROR(VLOOKUP($D671,'Состав ВТК'!$B$9:$I$108,8,FALSE),"-")</f>
        <v>-</v>
      </c>
      <c r="F671" s="376" t="str">
        <f>IFERROR(INDEX(Работы!$D$65:$D$374,MATCH(C671,Работы!$C$65:$C$374,0),1),"-")</f>
        <v>-</v>
      </c>
      <c r="G671" s="390"/>
      <c r="H671" s="390"/>
      <c r="K671" s="356"/>
    </row>
    <row r="672" spans="1:11" x14ac:dyDescent="0.25">
      <c r="A672" s="394" t="s">
        <v>17</v>
      </c>
      <c r="B672" s="389" t="e">
        <f>INDEX(Работы!$B$65:$B$374,MATCH(C672,Работы!$C$65:$C$374,0),1)</f>
        <v>#N/A</v>
      </c>
      <c r="C672" s="150"/>
      <c r="D672" s="150"/>
      <c r="E672" s="388" t="str">
        <f>IFERROR(VLOOKUP($D672,'Состав ВТК'!$B$9:$I$108,8,FALSE),"-")</f>
        <v>-</v>
      </c>
      <c r="F672" s="376" t="str">
        <f>IFERROR(INDEX(Работы!$D$65:$D$374,MATCH(C672,Работы!$C$65:$C$374,0),1),"-")</f>
        <v>-</v>
      </c>
      <c r="G672" s="390"/>
      <c r="H672" s="390"/>
      <c r="K672" s="356"/>
    </row>
    <row r="673" spans="1:11" x14ac:dyDescent="0.25">
      <c r="A673" s="394" t="s">
        <v>17</v>
      </c>
      <c r="B673" s="389" t="e">
        <f>INDEX(Работы!$B$65:$B$374,MATCH(C673,Работы!$C$65:$C$374,0),1)</f>
        <v>#N/A</v>
      </c>
      <c r="C673" s="150"/>
      <c r="D673" s="150"/>
      <c r="E673" s="388" t="str">
        <f>IFERROR(VLOOKUP($D673,'Состав ВТК'!$B$9:$I$108,8,FALSE),"-")</f>
        <v>-</v>
      </c>
      <c r="F673" s="376" t="str">
        <f>IFERROR(INDEX(Работы!$D$65:$D$374,MATCH(C673,Работы!$C$65:$C$374,0),1),"-")</f>
        <v>-</v>
      </c>
      <c r="G673" s="390"/>
      <c r="H673" s="390"/>
      <c r="K673" s="356"/>
    </row>
    <row r="674" spans="1:11" x14ac:dyDescent="0.25">
      <c r="A674" s="394" t="s">
        <v>17</v>
      </c>
      <c r="B674" s="389" t="e">
        <f>INDEX(Работы!$B$65:$B$374,MATCH(C674,Работы!$C$65:$C$374,0),1)</f>
        <v>#N/A</v>
      </c>
      <c r="C674" s="150"/>
      <c r="D674" s="150"/>
      <c r="E674" s="388" t="str">
        <f>IFERROR(VLOOKUP($D674,'Состав ВТК'!$B$9:$I$108,8,FALSE),"-")</f>
        <v>-</v>
      </c>
      <c r="F674" s="376" t="str">
        <f>IFERROR(INDEX(Работы!$D$65:$D$374,MATCH(C674,Работы!$C$65:$C$374,0),1),"-")</f>
        <v>-</v>
      </c>
      <c r="G674" s="390"/>
      <c r="H674" s="390"/>
      <c r="K674" s="356"/>
    </row>
    <row r="675" spans="1:11" x14ac:dyDescent="0.25">
      <c r="A675" s="394" t="s">
        <v>17</v>
      </c>
      <c r="B675" s="389" t="e">
        <f>INDEX(Работы!$B$65:$B$374,MATCH(C675,Работы!$C$65:$C$374,0),1)</f>
        <v>#N/A</v>
      </c>
      <c r="C675" s="150"/>
      <c r="D675" s="150"/>
      <c r="E675" s="388" t="str">
        <f>IFERROR(VLOOKUP($D675,'Состав ВТК'!$B$9:$I$108,8,FALSE),"-")</f>
        <v>-</v>
      </c>
      <c r="F675" s="376" t="str">
        <f>IFERROR(INDEX(Работы!$D$65:$D$374,MATCH(C675,Работы!$C$65:$C$374,0),1),"-")</f>
        <v>-</v>
      </c>
      <c r="G675" s="390"/>
      <c r="H675" s="390"/>
      <c r="K675" s="356"/>
    </row>
    <row r="676" spans="1:11" x14ac:dyDescent="0.25">
      <c r="A676" s="394" t="s">
        <v>17</v>
      </c>
      <c r="B676" s="389" t="e">
        <f>INDEX(Работы!$B$65:$B$374,MATCH(C676,Работы!$C$65:$C$374,0),1)</f>
        <v>#N/A</v>
      </c>
      <c r="C676" s="150"/>
      <c r="D676" s="150"/>
      <c r="E676" s="388" t="str">
        <f>IFERROR(VLOOKUP($D676,'Состав ВТК'!$B$9:$I$108,8,FALSE),"-")</f>
        <v>-</v>
      </c>
      <c r="F676" s="376" t="str">
        <f>IFERROR(INDEX(Работы!$D$65:$D$374,MATCH(C676,Работы!$C$65:$C$374,0),1),"-")</f>
        <v>-</v>
      </c>
      <c r="G676" s="390"/>
      <c r="H676" s="390"/>
      <c r="K676" s="356"/>
    </row>
    <row r="677" spans="1:11" x14ac:dyDescent="0.25">
      <c r="A677" s="394" t="s">
        <v>17</v>
      </c>
      <c r="B677" s="389" t="e">
        <f>INDEX(Работы!$B$65:$B$374,MATCH(C677,Работы!$C$65:$C$374,0),1)</f>
        <v>#N/A</v>
      </c>
      <c r="C677" s="150"/>
      <c r="D677" s="150"/>
      <c r="E677" s="388" t="str">
        <f>IFERROR(VLOOKUP($D677,'Состав ВТК'!$B$9:$I$108,8,FALSE),"-")</f>
        <v>-</v>
      </c>
      <c r="F677" s="376" t="str">
        <f>IFERROR(INDEX(Работы!$D$65:$D$374,MATCH(C677,Работы!$C$65:$C$374,0),1),"-")</f>
        <v>-</v>
      </c>
      <c r="G677" s="390"/>
      <c r="H677" s="390"/>
      <c r="K677" s="356"/>
    </row>
    <row r="678" spans="1:11" x14ac:dyDescent="0.25">
      <c r="A678" s="394" t="s">
        <v>17</v>
      </c>
      <c r="B678" s="389" t="e">
        <f>INDEX(Работы!$B$65:$B$374,MATCH(C678,Работы!$C$65:$C$374,0),1)</f>
        <v>#N/A</v>
      </c>
      <c r="C678" s="150"/>
      <c r="D678" s="150"/>
      <c r="E678" s="388" t="str">
        <f>IFERROR(VLOOKUP($D678,'Состав ВТК'!$B$9:$I$108,8,FALSE),"-")</f>
        <v>-</v>
      </c>
      <c r="F678" s="376" t="str">
        <f>IFERROR(INDEX(Работы!$D$65:$D$374,MATCH(C678,Работы!$C$65:$C$374,0),1),"-")</f>
        <v>-</v>
      </c>
      <c r="G678" s="390"/>
      <c r="H678" s="390"/>
      <c r="K678" s="356"/>
    </row>
    <row r="679" spans="1:11" x14ac:dyDescent="0.25">
      <c r="A679" s="394" t="s">
        <v>17</v>
      </c>
      <c r="B679" s="389" t="e">
        <f>INDEX(Работы!$B$65:$B$374,MATCH(C679,Работы!$C$65:$C$374,0),1)</f>
        <v>#N/A</v>
      </c>
      <c r="C679" s="150"/>
      <c r="D679" s="150"/>
      <c r="E679" s="388" t="str">
        <f>IFERROR(VLOOKUP($D679,'Состав ВТК'!$B$9:$I$108,8,FALSE),"-")</f>
        <v>-</v>
      </c>
      <c r="F679" s="376" t="str">
        <f>IFERROR(INDEX(Работы!$D$65:$D$374,MATCH(C679,Работы!$C$65:$C$374,0),1),"-")</f>
        <v>-</v>
      </c>
      <c r="G679" s="390"/>
      <c r="H679" s="390"/>
      <c r="K679" s="356"/>
    </row>
    <row r="680" spans="1:11" x14ac:dyDescent="0.25">
      <c r="A680" s="394" t="s">
        <v>17</v>
      </c>
      <c r="B680" s="389" t="e">
        <f>INDEX(Работы!$B$65:$B$374,MATCH(C680,Работы!$C$65:$C$374,0),1)</f>
        <v>#N/A</v>
      </c>
      <c r="C680" s="150"/>
      <c r="D680" s="150"/>
      <c r="E680" s="388" t="str">
        <f>IFERROR(VLOOKUP($D680,'Состав ВТК'!$B$9:$I$108,8,FALSE),"-")</f>
        <v>-</v>
      </c>
      <c r="F680" s="376" t="str">
        <f>IFERROR(INDEX(Работы!$D$65:$D$374,MATCH(C680,Работы!$C$65:$C$374,0),1),"-")</f>
        <v>-</v>
      </c>
      <c r="G680" s="390"/>
      <c r="H680" s="390"/>
      <c r="K680" s="356"/>
    </row>
    <row r="681" spans="1:11" x14ac:dyDescent="0.25">
      <c r="A681" s="394" t="s">
        <v>17</v>
      </c>
      <c r="B681" s="389" t="e">
        <f>INDEX(Работы!$B$65:$B$374,MATCH(C681,Работы!$C$65:$C$374,0),1)</f>
        <v>#N/A</v>
      </c>
      <c r="C681" s="150"/>
      <c r="D681" s="150"/>
      <c r="E681" s="388" t="str">
        <f>IFERROR(VLOOKUP($D681,'Состав ВТК'!$B$9:$I$108,8,FALSE),"-")</f>
        <v>-</v>
      </c>
      <c r="F681" s="376" t="str">
        <f>IFERROR(INDEX(Работы!$D$65:$D$374,MATCH(C681,Работы!$C$65:$C$374,0),1),"-")</f>
        <v>-</v>
      </c>
      <c r="G681" s="390"/>
      <c r="H681" s="390"/>
      <c r="K681" s="356"/>
    </row>
    <row r="682" spans="1:11" x14ac:dyDescent="0.25">
      <c r="A682" s="394" t="s">
        <v>17</v>
      </c>
      <c r="B682" s="389" t="e">
        <f>INDEX(Работы!$B$65:$B$374,MATCH(C682,Работы!$C$65:$C$374,0),1)</f>
        <v>#N/A</v>
      </c>
      <c r="C682" s="150"/>
      <c r="D682" s="150"/>
      <c r="E682" s="388" t="str">
        <f>IFERROR(VLOOKUP($D682,'Состав ВТК'!$B$9:$I$108,8,FALSE),"-")</f>
        <v>-</v>
      </c>
      <c r="F682" s="376" t="str">
        <f>IFERROR(INDEX(Работы!$D$65:$D$374,MATCH(C682,Работы!$C$65:$C$374,0),1),"-")</f>
        <v>-</v>
      </c>
      <c r="G682" s="390"/>
      <c r="H682" s="390"/>
      <c r="K682" s="356"/>
    </row>
    <row r="683" spans="1:11" x14ac:dyDescent="0.25">
      <c r="A683" s="394" t="s">
        <v>17</v>
      </c>
      <c r="B683" s="389" t="e">
        <f>INDEX(Работы!$B$65:$B$374,MATCH(C683,Работы!$C$65:$C$374,0),1)</f>
        <v>#N/A</v>
      </c>
      <c r="C683" s="150"/>
      <c r="D683" s="150"/>
      <c r="E683" s="388" t="str">
        <f>IFERROR(VLOOKUP($D683,'Состав ВТК'!$B$9:$I$108,8,FALSE),"-")</f>
        <v>-</v>
      </c>
      <c r="F683" s="376" t="str">
        <f>IFERROR(INDEX(Работы!$D$65:$D$374,MATCH(C683,Работы!$C$65:$C$374,0),1),"-")</f>
        <v>-</v>
      </c>
      <c r="G683" s="390"/>
      <c r="H683" s="390"/>
      <c r="K683" s="356"/>
    </row>
    <row r="684" spans="1:11" x14ac:dyDescent="0.25">
      <c r="A684" s="394" t="s">
        <v>17</v>
      </c>
      <c r="B684" s="389" t="e">
        <f>INDEX(Работы!$B$65:$B$374,MATCH(C684,Работы!$C$65:$C$374,0),1)</f>
        <v>#N/A</v>
      </c>
      <c r="C684" s="150"/>
      <c r="D684" s="150"/>
      <c r="E684" s="388" t="str">
        <f>IFERROR(VLOOKUP($D684,'Состав ВТК'!$B$9:$I$108,8,FALSE),"-")</f>
        <v>-</v>
      </c>
      <c r="F684" s="376" t="str">
        <f>IFERROR(INDEX(Работы!$D$65:$D$374,MATCH(C684,Работы!$C$65:$C$374,0),1),"-")</f>
        <v>-</v>
      </c>
      <c r="G684" s="390"/>
      <c r="H684" s="390"/>
      <c r="K684" s="356"/>
    </row>
    <row r="685" spans="1:11" x14ac:dyDescent="0.25">
      <c r="A685" s="394" t="s">
        <v>17</v>
      </c>
      <c r="B685" s="389" t="e">
        <f>INDEX(Работы!$B$65:$B$374,MATCH(C685,Работы!$C$65:$C$374,0),1)</f>
        <v>#N/A</v>
      </c>
      <c r="C685" s="150"/>
      <c r="D685" s="150"/>
      <c r="E685" s="388" t="str">
        <f>IFERROR(VLOOKUP($D685,'Состав ВТК'!$B$9:$I$108,8,FALSE),"-")</f>
        <v>-</v>
      </c>
      <c r="F685" s="376" t="str">
        <f>IFERROR(INDEX(Работы!$D$65:$D$374,MATCH(C685,Работы!$C$65:$C$374,0),1),"-")</f>
        <v>-</v>
      </c>
      <c r="G685" s="390"/>
      <c r="H685" s="390"/>
      <c r="K685" s="356"/>
    </row>
    <row r="686" spans="1:11" x14ac:dyDescent="0.25">
      <c r="A686" s="394" t="s">
        <v>17</v>
      </c>
      <c r="B686" s="389" t="e">
        <f>INDEX(Работы!$B$65:$B$374,MATCH(C686,Работы!$C$65:$C$374,0),1)</f>
        <v>#N/A</v>
      </c>
      <c r="C686" s="150"/>
      <c r="D686" s="150"/>
      <c r="E686" s="388" t="str">
        <f>IFERROR(VLOOKUP($D686,'Состав ВТК'!$B$9:$I$108,8,FALSE),"-")</f>
        <v>-</v>
      </c>
      <c r="F686" s="376" t="str">
        <f>IFERROR(INDEX(Работы!$D$65:$D$374,MATCH(C686,Работы!$C$65:$C$374,0),1),"-")</f>
        <v>-</v>
      </c>
      <c r="G686" s="390"/>
      <c r="H686" s="390"/>
      <c r="K686" s="356"/>
    </row>
    <row r="687" spans="1:11" x14ac:dyDescent="0.25">
      <c r="A687" s="394" t="s">
        <v>17</v>
      </c>
      <c r="B687" s="389" t="e">
        <f>INDEX(Работы!$B$65:$B$374,MATCH(C687,Работы!$C$65:$C$374,0),1)</f>
        <v>#N/A</v>
      </c>
      <c r="C687" s="150"/>
      <c r="D687" s="150"/>
      <c r="E687" s="388" t="str">
        <f>IFERROR(VLOOKUP($D687,'Состав ВТК'!$B$9:$I$108,8,FALSE),"-")</f>
        <v>-</v>
      </c>
      <c r="F687" s="376" t="str">
        <f>IFERROR(INDEX(Работы!$D$65:$D$374,MATCH(C687,Работы!$C$65:$C$374,0),1),"-")</f>
        <v>-</v>
      </c>
      <c r="G687" s="390"/>
      <c r="H687" s="390"/>
      <c r="K687" s="356"/>
    </row>
    <row r="688" spans="1:11" x14ac:dyDescent="0.25">
      <c r="A688" s="394" t="s">
        <v>17</v>
      </c>
      <c r="B688" s="389" t="e">
        <f>INDEX(Работы!$B$65:$B$374,MATCH(C688,Работы!$C$65:$C$374,0),1)</f>
        <v>#N/A</v>
      </c>
      <c r="C688" s="150"/>
      <c r="D688" s="150"/>
      <c r="E688" s="388" t="str">
        <f>IFERROR(VLOOKUP($D688,'Состав ВТК'!$B$9:$I$108,8,FALSE),"-")</f>
        <v>-</v>
      </c>
      <c r="F688" s="376" t="str">
        <f>IFERROR(INDEX(Работы!$D$65:$D$374,MATCH(C688,Работы!$C$65:$C$374,0),1),"-")</f>
        <v>-</v>
      </c>
      <c r="G688" s="390"/>
      <c r="H688" s="390"/>
      <c r="K688" s="356"/>
    </row>
    <row r="689" spans="1:11" x14ac:dyDescent="0.25">
      <c r="A689" s="394" t="s">
        <v>17</v>
      </c>
      <c r="B689" s="389" t="e">
        <f>INDEX(Работы!$B$65:$B$374,MATCH(C689,Работы!$C$65:$C$374,0),1)</f>
        <v>#N/A</v>
      </c>
      <c r="C689" s="150"/>
      <c r="D689" s="150"/>
      <c r="E689" s="388" t="str">
        <f>IFERROR(VLOOKUP($D689,'Состав ВТК'!$B$9:$I$108,8,FALSE),"-")</f>
        <v>-</v>
      </c>
      <c r="F689" s="376" t="str">
        <f>IFERROR(INDEX(Работы!$D$65:$D$374,MATCH(C689,Работы!$C$65:$C$374,0),1),"-")</f>
        <v>-</v>
      </c>
      <c r="G689" s="390"/>
      <c r="H689" s="390"/>
      <c r="K689" s="356"/>
    </row>
    <row r="690" spans="1:11" x14ac:dyDescent="0.25">
      <c r="A690" s="394" t="s">
        <v>17</v>
      </c>
      <c r="B690" s="389" t="e">
        <f>INDEX(Работы!$B$65:$B$374,MATCH(C690,Работы!$C$65:$C$374,0),1)</f>
        <v>#N/A</v>
      </c>
      <c r="C690" s="150"/>
      <c r="D690" s="150"/>
      <c r="E690" s="388" t="str">
        <f>IFERROR(VLOOKUP($D690,'Состав ВТК'!$B$9:$I$108,8,FALSE),"-")</f>
        <v>-</v>
      </c>
      <c r="F690" s="376" t="str">
        <f>IFERROR(INDEX(Работы!$D$65:$D$374,MATCH(C690,Работы!$C$65:$C$374,0),1),"-")</f>
        <v>-</v>
      </c>
      <c r="G690" s="390"/>
      <c r="H690" s="390"/>
      <c r="K690" s="356"/>
    </row>
    <row r="691" spans="1:11" x14ac:dyDescent="0.25">
      <c r="A691" s="394" t="s">
        <v>17</v>
      </c>
      <c r="B691" s="389" t="e">
        <f>INDEX(Работы!$B$65:$B$374,MATCH(C691,Работы!$C$65:$C$374,0),1)</f>
        <v>#N/A</v>
      </c>
      <c r="C691" s="150"/>
      <c r="D691" s="150"/>
      <c r="E691" s="388" t="str">
        <f>IFERROR(VLOOKUP($D691,'Состав ВТК'!$B$9:$I$108,8,FALSE),"-")</f>
        <v>-</v>
      </c>
      <c r="F691" s="376" t="str">
        <f>IFERROR(INDEX(Работы!$D$65:$D$374,MATCH(C691,Работы!$C$65:$C$374,0),1),"-")</f>
        <v>-</v>
      </c>
      <c r="G691" s="390"/>
      <c r="H691" s="390"/>
      <c r="K691" s="356"/>
    </row>
    <row r="692" spans="1:11" x14ac:dyDescent="0.25">
      <c r="A692" s="394" t="s">
        <v>17</v>
      </c>
      <c r="B692" s="389" t="e">
        <f>INDEX(Работы!$B$65:$B$374,MATCH(C692,Работы!$C$65:$C$374,0),1)</f>
        <v>#N/A</v>
      </c>
      <c r="C692" s="150"/>
      <c r="D692" s="150"/>
      <c r="E692" s="388" t="str">
        <f>IFERROR(VLOOKUP($D692,'Состав ВТК'!$B$9:$I$108,8,FALSE),"-")</f>
        <v>-</v>
      </c>
      <c r="F692" s="376" t="str">
        <f>IFERROR(INDEX(Работы!$D$65:$D$374,MATCH(C692,Работы!$C$65:$C$374,0),1),"-")</f>
        <v>-</v>
      </c>
      <c r="G692" s="390"/>
      <c r="H692" s="390"/>
      <c r="K692" s="356"/>
    </row>
    <row r="693" spans="1:11" x14ac:dyDescent="0.25">
      <c r="A693" s="394" t="s">
        <v>17</v>
      </c>
      <c r="B693" s="389" t="e">
        <f>INDEX(Работы!$B$65:$B$374,MATCH(C693,Работы!$C$65:$C$374,0),1)</f>
        <v>#N/A</v>
      </c>
      <c r="C693" s="150"/>
      <c r="D693" s="150"/>
      <c r="E693" s="388" t="str">
        <f>IFERROR(VLOOKUP($D693,'Состав ВТК'!$B$9:$I$108,8,FALSE),"-")</f>
        <v>-</v>
      </c>
      <c r="F693" s="376" t="str">
        <f>IFERROR(INDEX(Работы!$D$65:$D$374,MATCH(C693,Работы!$C$65:$C$374,0),1),"-")</f>
        <v>-</v>
      </c>
      <c r="G693" s="390"/>
      <c r="H693" s="390"/>
      <c r="K693" s="356"/>
    </row>
    <row r="694" spans="1:11" x14ac:dyDescent="0.25">
      <c r="A694" s="394" t="s">
        <v>17</v>
      </c>
      <c r="B694" s="389" t="e">
        <f>INDEX(Работы!$B$65:$B$374,MATCH(C694,Работы!$C$65:$C$374,0),1)</f>
        <v>#N/A</v>
      </c>
      <c r="C694" s="150"/>
      <c r="D694" s="150"/>
      <c r="E694" s="388" t="str">
        <f>IFERROR(VLOOKUP($D694,'Состав ВТК'!$B$9:$I$108,8,FALSE),"-")</f>
        <v>-</v>
      </c>
      <c r="F694" s="376" t="str">
        <f>IFERROR(INDEX(Работы!$D$65:$D$374,MATCH(C694,Работы!$C$65:$C$374,0),1),"-")</f>
        <v>-</v>
      </c>
      <c r="G694" s="390"/>
      <c r="H694" s="390"/>
      <c r="K694" s="356"/>
    </row>
    <row r="695" spans="1:11" x14ac:dyDescent="0.25">
      <c r="A695" s="394" t="s">
        <v>17</v>
      </c>
      <c r="B695" s="389" t="e">
        <f>INDEX(Работы!$B$65:$B$374,MATCH(C695,Работы!$C$65:$C$374,0),1)</f>
        <v>#N/A</v>
      </c>
      <c r="C695" s="150"/>
      <c r="D695" s="150"/>
      <c r="E695" s="388" t="str">
        <f>IFERROR(VLOOKUP($D695,'Состав ВТК'!$B$9:$I$108,8,FALSE),"-")</f>
        <v>-</v>
      </c>
      <c r="F695" s="376" t="str">
        <f>IFERROR(INDEX(Работы!$D$65:$D$374,MATCH(C695,Работы!$C$65:$C$374,0),1),"-")</f>
        <v>-</v>
      </c>
      <c r="G695" s="390"/>
      <c r="H695" s="390"/>
      <c r="K695" s="356"/>
    </row>
    <row r="696" spans="1:11" x14ac:dyDescent="0.25">
      <c r="A696" s="394" t="s">
        <v>17</v>
      </c>
      <c r="B696" s="389" t="e">
        <f>INDEX(Работы!$B$65:$B$374,MATCH(C696,Работы!$C$65:$C$374,0),1)</f>
        <v>#N/A</v>
      </c>
      <c r="C696" s="150"/>
      <c r="D696" s="150"/>
      <c r="E696" s="388" t="str">
        <f>IFERROR(VLOOKUP($D696,'Состав ВТК'!$B$9:$I$108,8,FALSE),"-")</f>
        <v>-</v>
      </c>
      <c r="F696" s="376" t="str">
        <f>IFERROR(INDEX(Работы!$D$65:$D$374,MATCH(C696,Работы!$C$65:$C$374,0),1),"-")</f>
        <v>-</v>
      </c>
      <c r="G696" s="390"/>
      <c r="H696" s="390"/>
      <c r="K696" s="356"/>
    </row>
    <row r="697" spans="1:11" x14ac:dyDescent="0.25">
      <c r="A697" s="394" t="s">
        <v>17</v>
      </c>
      <c r="B697" s="389" t="e">
        <f>INDEX(Работы!$B$65:$B$374,MATCH(C697,Работы!$C$65:$C$374,0),1)</f>
        <v>#N/A</v>
      </c>
      <c r="C697" s="150"/>
      <c r="D697" s="150"/>
      <c r="E697" s="388" t="str">
        <f>IFERROR(VLOOKUP($D697,'Состав ВТК'!$B$9:$I$108,8,FALSE),"-")</f>
        <v>-</v>
      </c>
      <c r="F697" s="376" t="str">
        <f>IFERROR(INDEX(Работы!$D$65:$D$374,MATCH(C697,Работы!$C$65:$C$374,0),1),"-")</f>
        <v>-</v>
      </c>
      <c r="G697" s="390"/>
      <c r="H697" s="390"/>
      <c r="K697" s="356"/>
    </row>
    <row r="698" spans="1:11" x14ac:dyDescent="0.25">
      <c r="A698" s="394" t="s">
        <v>17</v>
      </c>
      <c r="B698" s="389" t="e">
        <f>INDEX(Работы!$B$65:$B$374,MATCH(C698,Работы!$C$65:$C$374,0),1)</f>
        <v>#N/A</v>
      </c>
      <c r="C698" s="150"/>
      <c r="D698" s="150"/>
      <c r="E698" s="388" t="str">
        <f>IFERROR(VLOOKUP($D698,'Состав ВТК'!$B$9:$I$108,8,FALSE),"-")</f>
        <v>-</v>
      </c>
      <c r="F698" s="376" t="str">
        <f>IFERROR(INDEX(Работы!$D$65:$D$374,MATCH(C698,Работы!$C$65:$C$374,0),1),"-")</f>
        <v>-</v>
      </c>
      <c r="G698" s="390"/>
      <c r="H698" s="390"/>
      <c r="K698" s="356"/>
    </row>
    <row r="699" spans="1:11" x14ac:dyDescent="0.25">
      <c r="A699" s="394" t="s">
        <v>17</v>
      </c>
      <c r="B699" s="389" t="e">
        <f>INDEX(Работы!$B$65:$B$374,MATCH(C699,Работы!$C$65:$C$374,0),1)</f>
        <v>#N/A</v>
      </c>
      <c r="C699" s="150"/>
      <c r="D699" s="150"/>
      <c r="E699" s="388" t="str">
        <f>IFERROR(VLOOKUP($D699,'Состав ВТК'!$B$9:$I$108,8,FALSE),"-")</f>
        <v>-</v>
      </c>
      <c r="F699" s="376" t="str">
        <f>IFERROR(INDEX(Работы!$D$65:$D$374,MATCH(C699,Работы!$C$65:$C$374,0),1),"-")</f>
        <v>-</v>
      </c>
      <c r="G699" s="390"/>
      <c r="H699" s="390"/>
      <c r="K699" s="356"/>
    </row>
    <row r="700" spans="1:11" x14ac:dyDescent="0.25">
      <c r="A700" s="394" t="s">
        <v>17</v>
      </c>
      <c r="B700" s="389" t="e">
        <f>INDEX(Работы!$B$65:$B$374,MATCH(C700,Работы!$C$65:$C$374,0),1)</f>
        <v>#N/A</v>
      </c>
      <c r="C700" s="150"/>
      <c r="D700" s="150"/>
      <c r="E700" s="388" t="str">
        <f>IFERROR(VLOOKUP($D700,'Состав ВТК'!$B$9:$I$108,8,FALSE),"-")</f>
        <v>-</v>
      </c>
      <c r="F700" s="376" t="str">
        <f>IFERROR(INDEX(Работы!$D$65:$D$374,MATCH(C700,Работы!$C$65:$C$374,0),1),"-")</f>
        <v>-</v>
      </c>
      <c r="G700" s="390"/>
      <c r="H700" s="390"/>
      <c r="K700" s="356"/>
    </row>
    <row r="701" spans="1:11" x14ac:dyDescent="0.25">
      <c r="A701" s="394" t="s">
        <v>17</v>
      </c>
      <c r="B701" s="389" t="e">
        <f>INDEX(Работы!$B$65:$B$374,MATCH(C701,Работы!$C$65:$C$374,0),1)</f>
        <v>#N/A</v>
      </c>
      <c r="C701" s="150"/>
      <c r="D701" s="150"/>
      <c r="E701" s="388" t="str">
        <f>IFERROR(VLOOKUP($D701,'Состав ВТК'!$B$9:$I$108,8,FALSE),"-")</f>
        <v>-</v>
      </c>
      <c r="F701" s="376" t="str">
        <f>IFERROR(INDEX(Работы!$D$65:$D$374,MATCH(C701,Работы!$C$65:$C$374,0),1),"-")</f>
        <v>-</v>
      </c>
      <c r="G701" s="390"/>
      <c r="H701" s="390"/>
      <c r="K701" s="356"/>
    </row>
    <row r="702" spans="1:11" x14ac:dyDescent="0.25">
      <c r="A702" s="394" t="s">
        <v>17</v>
      </c>
      <c r="B702" s="389" t="e">
        <f>INDEX(Работы!$B$65:$B$374,MATCH(C702,Работы!$C$65:$C$374,0),1)</f>
        <v>#N/A</v>
      </c>
      <c r="C702" s="150"/>
      <c r="D702" s="150"/>
      <c r="E702" s="388" t="str">
        <f>IFERROR(VLOOKUP($D702,'Состав ВТК'!$B$9:$I$108,8,FALSE),"-")</f>
        <v>-</v>
      </c>
      <c r="F702" s="376" t="str">
        <f>IFERROR(INDEX(Работы!$D$65:$D$374,MATCH(C702,Работы!$C$65:$C$374,0),1),"-")</f>
        <v>-</v>
      </c>
      <c r="G702" s="390"/>
      <c r="H702" s="390"/>
      <c r="K702" s="356"/>
    </row>
    <row r="703" spans="1:11" x14ac:dyDescent="0.25">
      <c r="A703" s="394" t="s">
        <v>17</v>
      </c>
      <c r="B703" s="389" t="e">
        <f>INDEX(Работы!$B$65:$B$374,MATCH(C703,Работы!$C$65:$C$374,0),1)</f>
        <v>#N/A</v>
      </c>
      <c r="C703" s="150"/>
      <c r="D703" s="150"/>
      <c r="E703" s="388" t="str">
        <f>IFERROR(VLOOKUP($D703,'Состав ВТК'!$B$9:$I$108,8,FALSE),"-")</f>
        <v>-</v>
      </c>
      <c r="F703" s="376" t="str">
        <f>IFERROR(INDEX(Работы!$D$65:$D$374,MATCH(C703,Работы!$C$65:$C$374,0),1),"-")</f>
        <v>-</v>
      </c>
      <c r="G703" s="390"/>
      <c r="H703" s="390"/>
      <c r="K703" s="356"/>
    </row>
    <row r="704" spans="1:11" x14ac:dyDescent="0.25">
      <c r="A704" s="394" t="s">
        <v>17</v>
      </c>
      <c r="B704" s="389" t="e">
        <f>INDEX(Работы!$B$65:$B$374,MATCH(C704,Работы!$C$65:$C$374,0),1)</f>
        <v>#N/A</v>
      </c>
      <c r="C704" s="150"/>
      <c r="D704" s="150"/>
      <c r="E704" s="388" t="str">
        <f>IFERROR(VLOOKUP($D704,'Состав ВТК'!$B$9:$I$108,8,FALSE),"-")</f>
        <v>-</v>
      </c>
      <c r="F704" s="376" t="str">
        <f>IFERROR(INDEX(Работы!$D$65:$D$374,MATCH(C704,Работы!$C$65:$C$374,0),1),"-")</f>
        <v>-</v>
      </c>
      <c r="G704" s="390"/>
      <c r="H704" s="390"/>
      <c r="K704" s="356"/>
    </row>
    <row r="705" spans="1:11" x14ac:dyDescent="0.25">
      <c r="A705" s="394" t="s">
        <v>17</v>
      </c>
      <c r="B705" s="389" t="e">
        <f>INDEX(Работы!$B$65:$B$374,MATCH(C705,Работы!$C$65:$C$374,0),1)</f>
        <v>#N/A</v>
      </c>
      <c r="C705" s="150"/>
      <c r="D705" s="150"/>
      <c r="E705" s="388" t="str">
        <f>IFERROR(VLOOKUP($D705,'Состав ВТК'!$B$9:$I$108,8,FALSE),"-")</f>
        <v>-</v>
      </c>
      <c r="F705" s="376" t="str">
        <f>IFERROR(INDEX(Работы!$D$65:$D$374,MATCH(C705,Работы!$C$65:$C$374,0),1),"-")</f>
        <v>-</v>
      </c>
      <c r="G705" s="390"/>
      <c r="H705" s="390"/>
      <c r="K705" s="356"/>
    </row>
    <row r="706" spans="1:11" x14ac:dyDescent="0.25">
      <c r="A706" s="394" t="s">
        <v>17</v>
      </c>
      <c r="B706" s="389" t="e">
        <f>INDEX(Работы!$B$65:$B$374,MATCH(C706,Работы!$C$65:$C$374,0),1)</f>
        <v>#N/A</v>
      </c>
      <c r="C706" s="150"/>
      <c r="D706" s="150"/>
      <c r="E706" s="388" t="str">
        <f>IFERROR(VLOOKUP($D706,'Состав ВТК'!$B$9:$I$108,8,FALSE),"-")</f>
        <v>-</v>
      </c>
      <c r="F706" s="376" t="str">
        <f>IFERROR(INDEX(Работы!$D$65:$D$374,MATCH(C706,Работы!$C$65:$C$374,0),1),"-")</f>
        <v>-</v>
      </c>
      <c r="G706" s="390"/>
      <c r="H706" s="390"/>
      <c r="K706" s="356"/>
    </row>
    <row r="707" spans="1:11" x14ac:dyDescent="0.25">
      <c r="A707" s="394" t="s">
        <v>17</v>
      </c>
      <c r="B707" s="389" t="e">
        <f>INDEX(Работы!$B$65:$B$374,MATCH(C707,Работы!$C$65:$C$374,0),1)</f>
        <v>#N/A</v>
      </c>
      <c r="C707" s="150"/>
      <c r="D707" s="150"/>
      <c r="E707" s="388" t="str">
        <f>IFERROR(VLOOKUP($D707,'Состав ВТК'!$B$9:$I$108,8,FALSE),"-")</f>
        <v>-</v>
      </c>
      <c r="F707" s="376" t="str">
        <f>IFERROR(INDEX(Работы!$D$65:$D$374,MATCH(C707,Работы!$C$65:$C$374,0),1),"-")</f>
        <v>-</v>
      </c>
      <c r="G707" s="390"/>
      <c r="H707" s="390"/>
      <c r="K707" s="356"/>
    </row>
    <row r="708" spans="1:11" x14ac:dyDescent="0.25">
      <c r="A708" s="394" t="s">
        <v>17</v>
      </c>
      <c r="B708" s="389" t="e">
        <f>INDEX(Работы!$B$65:$B$374,MATCH(C708,Работы!$C$65:$C$374,0),1)</f>
        <v>#N/A</v>
      </c>
      <c r="C708" s="150"/>
      <c r="D708" s="150"/>
      <c r="E708" s="388" t="str">
        <f>IFERROR(VLOOKUP($D708,'Состав ВТК'!$B$9:$I$108,8,FALSE),"-")</f>
        <v>-</v>
      </c>
      <c r="F708" s="376" t="str">
        <f>IFERROR(INDEX(Работы!$D$65:$D$374,MATCH(C708,Работы!$C$65:$C$374,0),1),"-")</f>
        <v>-</v>
      </c>
      <c r="G708" s="390"/>
      <c r="H708" s="390"/>
      <c r="K708" s="356"/>
    </row>
    <row r="709" spans="1:11" x14ac:dyDescent="0.25">
      <c r="A709" s="394" t="s">
        <v>17</v>
      </c>
      <c r="B709" s="389" t="e">
        <f>INDEX(Работы!$B$65:$B$374,MATCH(C709,Работы!$C$65:$C$374,0),1)</f>
        <v>#N/A</v>
      </c>
      <c r="C709" s="150"/>
      <c r="D709" s="150"/>
      <c r="E709" s="388" t="str">
        <f>IFERROR(VLOOKUP($D709,'Состав ВТК'!$B$9:$I$108,8,FALSE),"-")</f>
        <v>-</v>
      </c>
      <c r="F709" s="376" t="str">
        <f>IFERROR(INDEX(Работы!$D$65:$D$374,MATCH(C709,Работы!$C$65:$C$374,0),1),"-")</f>
        <v>-</v>
      </c>
      <c r="G709" s="390"/>
      <c r="H709" s="390"/>
      <c r="K709" s="356"/>
    </row>
    <row r="710" spans="1:11" s="143" customFormat="1" x14ac:dyDescent="0.25">
      <c r="A710" s="394" t="s">
        <v>17</v>
      </c>
      <c r="B710" s="389" t="e">
        <f>INDEX(Работы!$B$65:$B$374,MATCH(C710,Работы!$C$65:$C$374,0),1)</f>
        <v>#N/A</v>
      </c>
      <c r="C710" s="150"/>
      <c r="D710" s="150"/>
      <c r="E710" s="388" t="str">
        <f>IFERROR(VLOOKUP($D710,'Состав ВТК'!$B$9:$I$108,8,FALSE),"-")</f>
        <v>-</v>
      </c>
      <c r="F710" s="376" t="str">
        <f>IFERROR(INDEX(Работы!$D$65:$D$374,MATCH(C710,Работы!$C$65:$C$374,0),1),"-")</f>
        <v>-</v>
      </c>
      <c r="G710" s="147"/>
      <c r="H710" s="147"/>
      <c r="I710" s="356"/>
    </row>
    <row r="711" spans="1:11" s="143" customFormat="1" x14ac:dyDescent="0.25">
      <c r="A711" s="151" t="s">
        <v>17</v>
      </c>
      <c r="B711" s="145" t="e">
        <f>INDEX(Работы!$B$65:$B$374,MATCH(C711,Работы!$C$65:$C$374,0),1)</f>
        <v>#N/A</v>
      </c>
      <c r="C711" s="150"/>
      <c r="D711" s="150"/>
      <c r="E711" s="146" t="str">
        <f>IFERROR(VLOOKUP($D711,'Состав ВТК'!$B$9:$I$108,8,FALSE),"-")</f>
        <v>-</v>
      </c>
      <c r="F711" s="376" t="str">
        <f>IFERROR(INDEX(Работы!$D$65:$D$374,MATCH(C711,Работы!$C$65:$C$374,0),1),"-")</f>
        <v>-</v>
      </c>
      <c r="G711" s="147"/>
      <c r="H711" s="147"/>
    </row>
    <row r="712" spans="1:11" s="143" customFormat="1" x14ac:dyDescent="0.25">
      <c r="A712" s="151" t="s">
        <v>17</v>
      </c>
      <c r="B712" s="145" t="e">
        <f>INDEX(Работы!$B$65:$B$374,MATCH(C712,Работы!$C$65:$C$374,0),1)</f>
        <v>#N/A</v>
      </c>
      <c r="C712" s="150"/>
      <c r="D712" s="150"/>
      <c r="E712" s="146" t="str">
        <f>IFERROR(VLOOKUP($D712,'Состав ВТК'!$B$9:$I$108,8,FALSE),"-")</f>
        <v>-</v>
      </c>
      <c r="F712" s="376" t="str">
        <f>IFERROR(INDEX(Работы!$D$65:$D$374,MATCH(C712,Работы!$C$65:$C$374,0),1),"-")</f>
        <v>-</v>
      </c>
      <c r="G712" s="147"/>
      <c r="H712" s="147"/>
    </row>
    <row r="713" spans="1:11" s="143" customFormat="1" x14ac:dyDescent="0.25">
      <c r="A713" s="11"/>
      <c r="B713" s="149"/>
      <c r="C713" s="149"/>
      <c r="D713" s="149"/>
      <c r="E713" s="149"/>
      <c r="F713" s="149"/>
      <c r="G713" s="149"/>
      <c r="H713" s="149"/>
      <c r="I713" s="548"/>
      <c r="J713" s="549"/>
    </row>
  </sheetData>
  <sheetProtection password="CF98" sheet="1" formatCells="0" formatColumns="0" formatRows="0" insertColumns="0" insertRows="0" insertHyperlinks="0" deleteColumns="0" deleteRows="0" sort="0" autoFilter="0"/>
  <autoFilter ref="A463:BG712"/>
  <mergeCells count="2">
    <mergeCell ref="A2:H2"/>
    <mergeCell ref="J17:J20"/>
  </mergeCells>
  <conditionalFormatting sqref="F15">
    <cfRule type="cellIs" dxfId="200" priority="238" operator="greaterThan">
      <formula>$C$7</formula>
    </cfRule>
  </conditionalFormatting>
  <conditionalFormatting sqref="F171:F462">
    <cfRule type="expression" dxfId="199" priority="663">
      <formula>IFERROR(SUMIF($B$171:$B$463,$B171,$F$171:$F$463)&gt;VLOOKUP($B171,$B$118:$F$170,5,FALSE),"-")</formula>
    </cfRule>
    <cfRule type="expression" dxfId="198" priority="664">
      <formula>IFERROR(SUMIF($B$171:$B$463,$B171,$F$171:$F$463)&lt;VLOOKUP($B171,$B$118:$F$170,5,FALSE),"-")</formula>
    </cfRule>
  </conditionalFormatting>
  <conditionalFormatting sqref="G17:G117">
    <cfRule type="expression" dxfId="197" priority="748">
      <formula>IFERROR(IF($E17="НПР",$G17&lt;0.1)+IF($E17="Иные",$G17&lt;0.1),"-")</formula>
    </cfRule>
  </conditionalFormatting>
  <conditionalFormatting sqref="F464:F712">
    <cfRule type="expression" dxfId="196" priority="749">
      <formula>IFERROR(SUMIF($C$464:$C$713,$C464,$F$464:$F$713)&lt;VLOOKUP($C464,$C$171:F463,4,FALSE),"-")</formula>
    </cfRule>
    <cfRule type="expression" dxfId="195" priority="750">
      <formula>IFERROR(SUMIF($C$464:$C$713,$C464,$F$464:$F$713)&gt;VLOOKUP($C464,$C$171:F463,4,FALSE),"-")</formula>
    </cfRule>
  </conditionalFormatting>
  <conditionalFormatting sqref="F17:F117">
    <cfRule type="expression" dxfId="194" priority="762">
      <formula>IF(AND($I17="Вакансия",$E17="Иные"),(SUMIF($I$17:$I$117,$I17,$F$17:$F$117)/$F$7)&gt;20%)</formula>
    </cfRule>
    <cfRule type="expression" dxfId="193" priority="763">
      <formula>IF(AND($I17="Вакансия",$E17="НТР"),(SUMIF($I$17:$I$117,$I17,$F$17:$F$117)/$E$7)&gt;50%)</formula>
    </cfRule>
    <cfRule type="expression" dxfId="192" priority="764">
      <formula>IF(AND($I17="Вакансия",$E17="НПР"),(SUMIF($I$17:$I$117,$I17,$F$17:$F$117)/$D$7)&gt;10%)</formula>
    </cfRule>
  </conditionalFormatting>
  <dataValidations count="1">
    <dataValidation type="list" allowBlank="1" showInputMessage="1" showErrorMessage="1" prompt="Выбрать из списка" sqref="D464:D713">
      <formula1>$D$17:$D$117</formula1>
    </dataValidation>
  </dataValidations>
  <printOptions horizontalCentered="1"/>
  <pageMargins left="0.70866141732283472" right="0.70866141732283472" top="0.74803149606299213" bottom="0.74803149606299213" header="0" footer="0"/>
  <pageSetup paperSize="9" scale="3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D45D62AF-D9EE-4D92-9084-92454350C931}">
            <xm:f>('Расчет участников НИР'!$V$14/'Расчет участников НИР'!$S$14)&gt;$F$5</xm:f>
            <x14:dxf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29" id="{A3CACFDF-1105-4644-94BD-3221ECD56FC2}">
            <xm:f>('Расчет участников НИР'!$U$14/'Расчет участников НИР'!$S$14)&lt;$E$5</xm:f>
            <x14:dxf>
              <fill>
                <patternFill>
                  <bgColor rgb="FFFFC0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0" id="{24853696-3A61-4AB8-A18E-98B1C6E77C2E}">
            <xm:f>('Расчет участников НИР'!$T$14/'Расчет участников НИР'!$S$14)&lt;$D$5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697" id="{32F86735-8C83-41D1-829C-F648A64AECB1}">
            <xm:f>IFERROR(SUMIF($E$17:$E$117,$E17,$G$17:$G$117)&gt;VLOOKUP($E17,'Расчет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G17:G117</xm:sqref>
        </x14:conditionalFormatting>
        <x14:conditionalFormatting xmlns:xm="http://schemas.microsoft.com/office/excel/2006/main">
          <x14:cfRule type="expression" priority="701" id="{A63608DD-AFD4-4EA5-AC10-E2C7E42AAC95}">
            <xm:f>IFERROR(SUMIF($E$17:$E$117,$F$4,$G$17:$G$117)&gt;VLOOKUP($F$4,'Расчет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751" id="{D4FE5EE2-C43B-4228-BC68-7D6D0A7EAC04}">
            <xm:f>IF($D117='Состав ВТК'!$B29,$F117&gt;'Состав ВТК'!$N29)</xm:f>
            <x14:dxf>
              <fill>
                <patternFill>
                  <bgColor theme="5"/>
                </patternFill>
              </fill>
            </x14:dxf>
          </x14:cfRule>
          <xm:sqref>F117</xm:sqref>
        </x14:conditionalFormatting>
        <x14:conditionalFormatting xmlns:xm="http://schemas.microsoft.com/office/excel/2006/main">
          <x14:cfRule type="expression" priority="752" id="{D4FE5EE2-C43B-4228-BC68-7D6D0A7EAC04}">
            <xm:f>IF($D17='Состав ВТК'!$B9,$F17&gt;'Состав ВТК'!$N9)</xm:f>
            <x14:dxf>
              <fill>
                <patternFill>
                  <bgColor theme="5"/>
                </patternFill>
              </fill>
            </x14:dxf>
          </x14:cfRule>
          <xm:sqref>F17:F116</xm:sqref>
        </x14:conditionalFormatting>
        <x14:conditionalFormatting xmlns:xm="http://schemas.microsoft.com/office/excel/2006/main">
          <x14:cfRule type="expression" priority="753" id="{5EDE4E06-D6E8-4849-AF85-45F0C16F7E66}">
            <xm:f>IFERROR(SUMIF($E$17:$E$117,$D$4,$G$17:$G$117)&gt;VLOOKUP($D$4,'Расчет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754" id="{A492BE7D-76FD-49E0-B157-D4AA5A2C24A3}">
            <xm:f>IFERROR(SUMIF($E$17:$E$117,$E$4,$G$17:$G$117)&gt;VLOOKUP($E$4,'Расчет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E9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рать из списка">
          <x14:formula1>
            <xm:f>Работы!$C$65:$C$374</xm:f>
          </x14:formula1>
          <xm:sqref>C464:C713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theme="5" tint="-0.249977111117893"/>
    <pageSetUpPr fitToPage="1"/>
  </sheetPr>
  <dimension ref="A2:M273"/>
  <sheetViews>
    <sheetView topLeftCell="A28" zoomScale="85" zoomScaleNormal="85" zoomScaleSheetLayoutView="85" workbookViewId="0">
      <selection activeCell="D30" sqref="D17:D30"/>
    </sheetView>
  </sheetViews>
  <sheetFormatPr defaultColWidth="9.140625" defaultRowHeight="15" x14ac:dyDescent="0.25"/>
  <cols>
    <col min="1" max="2" width="42.7109375" style="10" customWidth="1"/>
    <col min="3" max="3" width="43.42578125" style="10" customWidth="1"/>
    <col min="4" max="4" width="33" style="10" customWidth="1"/>
    <col min="5" max="5" width="23.42578125" style="10" customWidth="1"/>
    <col min="6" max="6" width="20.42578125" style="10" customWidth="1"/>
    <col min="7" max="7" width="23.7109375" style="10" customWidth="1"/>
    <col min="8" max="8" width="17.5703125" style="10" customWidth="1"/>
    <col min="9" max="12" width="9.140625" style="10"/>
    <col min="13" max="13" width="12.5703125" style="10" customWidth="1"/>
    <col min="14" max="16" width="9.140625" style="10"/>
    <col min="17" max="17" width="13.85546875" style="10" customWidth="1"/>
    <col min="18" max="16384" width="9.140625" style="10"/>
  </cols>
  <sheetData>
    <row r="2" spans="1:8" ht="18.75" x14ac:dyDescent="0.25">
      <c r="F2" s="806" t="s">
        <v>20</v>
      </c>
      <c r="G2" s="806"/>
      <c r="H2" s="806"/>
    </row>
    <row r="3" spans="1:8" ht="18.75" x14ac:dyDescent="0.25">
      <c r="F3" s="809" t="s">
        <v>396</v>
      </c>
      <c r="G3" s="809"/>
      <c r="H3" s="809"/>
    </row>
    <row r="4" spans="1:8" ht="18.75" x14ac:dyDescent="0.25">
      <c r="C4" s="20"/>
      <c r="D4" s="20"/>
      <c r="F4" s="329"/>
      <c r="G4" s="526"/>
      <c r="H4" s="526"/>
    </row>
    <row r="5" spans="1:8" ht="18.75" x14ac:dyDescent="0.25">
      <c r="F5" s="806" t="s">
        <v>280</v>
      </c>
      <c r="G5" s="806"/>
      <c r="H5" s="806"/>
    </row>
    <row r="6" spans="1:8" ht="18.75" x14ac:dyDescent="0.25">
      <c r="F6" s="329"/>
      <c r="G6" s="526"/>
      <c r="H6" s="526"/>
    </row>
    <row r="7" spans="1:8" ht="18.75" x14ac:dyDescent="0.25">
      <c r="F7" s="329"/>
      <c r="G7" s="810" t="s">
        <v>24</v>
      </c>
      <c r="H7" s="810"/>
    </row>
    <row r="9" spans="1:8" ht="22.5" x14ac:dyDescent="0.25">
      <c r="A9" s="811" t="s">
        <v>392</v>
      </c>
      <c r="B9" s="811"/>
      <c r="C9" s="811"/>
      <c r="D9" s="811"/>
      <c r="E9" s="811"/>
      <c r="F9" s="811"/>
      <c r="G9" s="811"/>
      <c r="H9" s="811"/>
    </row>
    <row r="10" spans="1:8" x14ac:dyDescent="0.25">
      <c r="A10" s="156"/>
      <c r="B10" s="156"/>
      <c r="C10" s="156"/>
      <c r="D10" s="156"/>
      <c r="E10" s="156"/>
      <c r="F10" s="156"/>
      <c r="G10" s="156"/>
    </row>
    <row r="11" spans="1:8" ht="15.75" x14ac:dyDescent="0.25">
      <c r="A11" s="550" t="s">
        <v>228</v>
      </c>
      <c r="B11" s="812">
        <f>Титул!$B$5</f>
        <v>0</v>
      </c>
      <c r="C11" s="812"/>
      <c r="D11" s="812"/>
      <c r="E11" s="812"/>
      <c r="F11" s="812"/>
      <c r="G11" s="812"/>
      <c r="H11" s="812"/>
    </row>
    <row r="12" spans="1:8" ht="15.75" x14ac:dyDescent="0.25">
      <c r="A12" s="550" t="s">
        <v>84</v>
      </c>
      <c r="B12" s="812" t="str">
        <f>Титул!$B$6</f>
        <v>-</v>
      </c>
      <c r="C12" s="812"/>
      <c r="D12" s="812"/>
      <c r="E12" s="812"/>
      <c r="F12" s="812"/>
      <c r="G12" s="812"/>
      <c r="H12" s="812"/>
    </row>
    <row r="13" spans="1:8" ht="15.75" customHeight="1" x14ac:dyDescent="0.25">
      <c r="A13" s="550" t="s">
        <v>212</v>
      </c>
      <c r="B13" s="812" t="str">
        <f>Титул!$B$7</f>
        <v>-</v>
      </c>
      <c r="C13" s="812"/>
      <c r="D13" s="812"/>
      <c r="E13" s="812"/>
      <c r="F13" s="812"/>
      <c r="G13" s="812"/>
      <c r="H13" s="812"/>
    </row>
    <row r="14" spans="1:8" ht="15.75" customHeight="1" x14ac:dyDescent="0.25">
      <c r="A14" s="550" t="s">
        <v>211</v>
      </c>
      <c r="B14" s="812" t="str">
        <f>Титул!$B$9</f>
        <v>-</v>
      </c>
      <c r="C14" s="812"/>
      <c r="D14" s="812"/>
      <c r="E14" s="812"/>
      <c r="F14" s="812"/>
      <c r="G14" s="812"/>
      <c r="H14" s="812"/>
    </row>
    <row r="15" spans="1:8" x14ac:dyDescent="0.25">
      <c r="A15" s="329"/>
      <c r="B15" s="329"/>
      <c r="C15" s="329"/>
      <c r="D15" s="329"/>
      <c r="E15" s="329"/>
      <c r="F15" s="329"/>
      <c r="G15" s="329"/>
      <c r="H15" s="329"/>
    </row>
    <row r="16" spans="1:8" s="20" customFormat="1" ht="47.25" x14ac:dyDescent="0.25">
      <c r="A16" s="98" t="s">
        <v>21</v>
      </c>
      <c r="B16" s="98" t="s">
        <v>394</v>
      </c>
      <c r="C16" s="98" t="s">
        <v>395</v>
      </c>
      <c r="D16" s="98" t="s">
        <v>393</v>
      </c>
      <c r="E16" s="98" t="s">
        <v>22</v>
      </c>
      <c r="F16" s="98" t="s">
        <v>25</v>
      </c>
      <c r="G16" s="98" t="s">
        <v>23</v>
      </c>
      <c r="H16" s="98" t="s">
        <v>281</v>
      </c>
    </row>
    <row r="17" spans="1:13" s="20" customFormat="1" ht="15.75" x14ac:dyDescent="0.25">
      <c r="A17" s="349">
        <f>'Трудозатраты членов ВТК'!$D464</f>
        <v>0</v>
      </c>
      <c r="B17" s="349" t="e">
        <f>'Трудозатраты членов ВТК'!$B464</f>
        <v>#N/A</v>
      </c>
      <c r="C17" s="349">
        <f>'Трудозатраты членов ВТК'!$C464</f>
        <v>0</v>
      </c>
      <c r="D17" s="435"/>
      <c r="E17" s="755"/>
      <c r="F17" s="755"/>
      <c r="G17" s="755"/>
      <c r="H17" s="755"/>
    </row>
    <row r="18" spans="1:13" s="20" customFormat="1" ht="15.75" x14ac:dyDescent="0.25">
      <c r="A18" s="349">
        <f>'Трудозатраты членов ВТК'!$D465</f>
        <v>0</v>
      </c>
      <c r="B18" s="349" t="e">
        <f>'Трудозатраты членов ВТК'!$B465</f>
        <v>#N/A</v>
      </c>
      <c r="C18" s="349">
        <f>'Трудозатраты членов ВТК'!$C465</f>
        <v>0</v>
      </c>
      <c r="D18" s="435"/>
      <c r="E18" s="755"/>
      <c r="F18" s="755"/>
      <c r="G18" s="755"/>
      <c r="H18" s="755"/>
    </row>
    <row r="19" spans="1:13" s="20" customFormat="1" ht="15.75" x14ac:dyDescent="0.25">
      <c r="A19" s="349">
        <f>'Трудозатраты членов ВТК'!$D466</f>
        <v>0</v>
      </c>
      <c r="B19" s="349" t="e">
        <f>'Трудозатраты членов ВТК'!$B466</f>
        <v>#N/A</v>
      </c>
      <c r="C19" s="349">
        <f>'Трудозатраты членов ВТК'!$C466</f>
        <v>0</v>
      </c>
      <c r="D19" s="435"/>
      <c r="E19" s="755"/>
      <c r="F19" s="755"/>
      <c r="G19" s="755"/>
      <c r="H19" s="755"/>
    </row>
    <row r="20" spans="1:13" x14ac:dyDescent="0.25">
      <c r="A20" s="349">
        <f>'Трудозатраты членов ВТК'!$D467</f>
        <v>0</v>
      </c>
      <c r="B20" s="349" t="e">
        <f>'Трудозатраты членов ВТК'!$B467</f>
        <v>#N/A</v>
      </c>
      <c r="C20" s="349">
        <f>'Трудозатраты членов ВТК'!$C467</f>
        <v>0</v>
      </c>
      <c r="D20" s="435"/>
      <c r="E20" s="21"/>
      <c r="F20" s="21"/>
      <c r="G20" s="21"/>
      <c r="H20" s="21"/>
      <c r="M20" s="20"/>
    </row>
    <row r="21" spans="1:13" x14ac:dyDescent="0.25">
      <c r="A21" s="349">
        <f>'Трудозатраты членов ВТК'!$D468</f>
        <v>0</v>
      </c>
      <c r="B21" s="349" t="e">
        <f>'Трудозатраты членов ВТК'!$B468</f>
        <v>#N/A</v>
      </c>
      <c r="C21" s="349">
        <f>'Трудозатраты членов ВТК'!$C468</f>
        <v>0</v>
      </c>
      <c r="D21" s="435"/>
      <c r="E21" s="21"/>
      <c r="F21" s="21"/>
      <c r="G21" s="21"/>
      <c r="H21" s="21"/>
      <c r="M21" s="20"/>
    </row>
    <row r="22" spans="1:13" x14ac:dyDescent="0.25">
      <c r="A22" s="349">
        <f>'Трудозатраты членов ВТК'!$D469</f>
        <v>0</v>
      </c>
      <c r="B22" s="349" t="e">
        <f>'Трудозатраты членов ВТК'!$B469</f>
        <v>#N/A</v>
      </c>
      <c r="C22" s="349">
        <f>'Трудозатраты членов ВТК'!$C469</f>
        <v>0</v>
      </c>
      <c r="D22" s="435"/>
      <c r="E22" s="21"/>
      <c r="F22" s="21"/>
      <c r="G22" s="21"/>
      <c r="H22" s="21"/>
      <c r="M22" s="20"/>
    </row>
    <row r="23" spans="1:13" x14ac:dyDescent="0.25">
      <c r="A23" s="349">
        <f>'Трудозатраты членов ВТК'!$D470</f>
        <v>0</v>
      </c>
      <c r="B23" s="349" t="e">
        <f>'Трудозатраты членов ВТК'!$B470</f>
        <v>#N/A</v>
      </c>
      <c r="C23" s="349">
        <f>'Трудозатраты членов ВТК'!$C470</f>
        <v>0</v>
      </c>
      <c r="D23" s="435"/>
      <c r="E23" s="21"/>
      <c r="F23" s="21"/>
      <c r="G23" s="21"/>
      <c r="H23" s="21"/>
      <c r="M23" s="20"/>
    </row>
    <row r="24" spans="1:13" x14ac:dyDescent="0.25">
      <c r="A24" s="349">
        <f>'Трудозатраты членов ВТК'!$D471</f>
        <v>0</v>
      </c>
      <c r="B24" s="349" t="e">
        <f>'Трудозатраты членов ВТК'!$B471</f>
        <v>#N/A</v>
      </c>
      <c r="C24" s="349">
        <f>'Трудозатраты членов ВТК'!$C471</f>
        <v>0</v>
      </c>
      <c r="D24" s="435"/>
      <c r="E24" s="21"/>
      <c r="F24" s="21"/>
      <c r="G24" s="21"/>
      <c r="H24" s="21"/>
      <c r="M24" s="20"/>
    </row>
    <row r="25" spans="1:13" x14ac:dyDescent="0.25">
      <c r="A25" s="349">
        <f>'Трудозатраты членов ВТК'!$D472</f>
        <v>0</v>
      </c>
      <c r="B25" s="349" t="e">
        <f>'Трудозатраты членов ВТК'!$B472</f>
        <v>#N/A</v>
      </c>
      <c r="C25" s="349">
        <f>'Трудозатраты членов ВТК'!$C472</f>
        <v>0</v>
      </c>
      <c r="D25" s="435"/>
      <c r="E25" s="21"/>
      <c r="F25" s="21"/>
      <c r="G25" s="21"/>
      <c r="H25" s="21"/>
      <c r="M25" s="20"/>
    </row>
    <row r="26" spans="1:13" x14ac:dyDescent="0.25">
      <c r="A26" s="349">
        <f>'Трудозатраты членов ВТК'!$D473</f>
        <v>0</v>
      </c>
      <c r="B26" s="349" t="e">
        <f>'Трудозатраты членов ВТК'!$B473</f>
        <v>#N/A</v>
      </c>
      <c r="C26" s="349">
        <f>'Трудозатраты членов ВТК'!$C473</f>
        <v>0</v>
      </c>
      <c r="D26" s="435"/>
      <c r="E26" s="21"/>
      <c r="F26" s="21"/>
      <c r="G26" s="21"/>
      <c r="H26" s="21"/>
      <c r="M26" s="20"/>
    </row>
    <row r="27" spans="1:13" x14ac:dyDescent="0.25">
      <c r="A27" s="349">
        <f>'Трудозатраты членов ВТК'!$D474</f>
        <v>0</v>
      </c>
      <c r="B27" s="349" t="e">
        <f>'Трудозатраты членов ВТК'!$B474</f>
        <v>#N/A</v>
      </c>
      <c r="C27" s="349">
        <f>'Трудозатраты членов ВТК'!$C474</f>
        <v>0</v>
      </c>
      <c r="D27" s="435"/>
      <c r="E27" s="21"/>
      <c r="F27" s="21"/>
      <c r="G27" s="21"/>
      <c r="H27" s="21"/>
    </row>
    <row r="28" spans="1:13" x14ac:dyDescent="0.25">
      <c r="A28" s="349">
        <f>'Трудозатраты членов ВТК'!$D475</f>
        <v>0</v>
      </c>
      <c r="B28" s="349" t="e">
        <f>'Трудозатраты членов ВТК'!$B475</f>
        <v>#N/A</v>
      </c>
      <c r="C28" s="349">
        <f>'Трудозатраты членов ВТК'!$C475</f>
        <v>0</v>
      </c>
      <c r="D28" s="435"/>
      <c r="E28" s="21"/>
      <c r="F28" s="21"/>
      <c r="G28" s="21"/>
      <c r="H28" s="21"/>
    </row>
    <row r="29" spans="1:13" x14ac:dyDescent="0.25">
      <c r="A29" s="349">
        <f>'Трудозатраты членов ВТК'!$D476</f>
        <v>0</v>
      </c>
      <c r="B29" s="349" t="e">
        <f>'Трудозатраты членов ВТК'!$B476</f>
        <v>#N/A</v>
      </c>
      <c r="C29" s="349">
        <f>'Трудозатраты членов ВТК'!$C476</f>
        <v>0</v>
      </c>
      <c r="D29" s="435"/>
      <c r="E29" s="21"/>
      <c r="F29" s="21"/>
      <c r="G29" s="21"/>
      <c r="H29" s="21"/>
    </row>
    <row r="30" spans="1:13" x14ac:dyDescent="0.25">
      <c r="A30" s="349">
        <f>'Трудозатраты членов ВТК'!$D477</f>
        <v>0</v>
      </c>
      <c r="B30" s="349" t="e">
        <f>'Трудозатраты членов ВТК'!$B477</f>
        <v>#N/A</v>
      </c>
      <c r="C30" s="349">
        <f>'Трудозатраты членов ВТК'!$C477</f>
        <v>0</v>
      </c>
      <c r="D30" s="435"/>
      <c r="E30" s="21"/>
      <c r="F30" s="21"/>
      <c r="G30" s="21"/>
      <c r="H30" s="21"/>
    </row>
    <row r="31" spans="1:13" hidden="1" x14ac:dyDescent="0.25">
      <c r="A31" s="349">
        <f>'Трудозатраты членов ВТК'!$D478</f>
        <v>0</v>
      </c>
      <c r="B31" s="349" t="e">
        <f>'Трудозатраты членов ВТК'!$B478</f>
        <v>#N/A</v>
      </c>
      <c r="C31" s="349">
        <f>'Трудозатраты членов ВТК'!$C478</f>
        <v>0</v>
      </c>
      <c r="D31" s="435"/>
      <c r="E31" s="21"/>
      <c r="F31" s="21"/>
      <c r="G31" s="21"/>
      <c r="H31" s="21"/>
    </row>
    <row r="32" spans="1:13" hidden="1" x14ac:dyDescent="0.25">
      <c r="A32" s="349">
        <f>'Трудозатраты членов ВТК'!$D479</f>
        <v>0</v>
      </c>
      <c r="B32" s="349" t="e">
        <f>'Трудозатраты членов ВТК'!$B479</f>
        <v>#N/A</v>
      </c>
      <c r="C32" s="349">
        <f>'Трудозатраты членов ВТК'!$C479</f>
        <v>0</v>
      </c>
      <c r="D32" s="435"/>
      <c r="E32" s="21"/>
      <c r="F32" s="21"/>
      <c r="G32" s="21"/>
      <c r="H32" s="21"/>
    </row>
    <row r="33" spans="1:8" hidden="1" x14ac:dyDescent="0.25">
      <c r="A33" s="349">
        <f>'Трудозатраты членов ВТК'!$D480</f>
        <v>0</v>
      </c>
      <c r="B33" s="349" t="e">
        <f>'Трудозатраты членов ВТК'!$B480</f>
        <v>#N/A</v>
      </c>
      <c r="C33" s="349">
        <f>'Трудозатраты членов ВТК'!$C480</f>
        <v>0</v>
      </c>
      <c r="D33" s="435"/>
      <c r="E33" s="21"/>
      <c r="F33" s="21"/>
      <c r="G33" s="21"/>
      <c r="H33" s="21"/>
    </row>
    <row r="34" spans="1:8" hidden="1" x14ac:dyDescent="0.25">
      <c r="A34" s="349">
        <f>'Трудозатраты членов ВТК'!$D481</f>
        <v>0</v>
      </c>
      <c r="B34" s="349" t="e">
        <f>'Трудозатраты членов ВТК'!$B481</f>
        <v>#N/A</v>
      </c>
      <c r="C34" s="349">
        <f>'Трудозатраты членов ВТК'!$C481</f>
        <v>0</v>
      </c>
      <c r="D34" s="435"/>
      <c r="E34" s="21"/>
      <c r="F34" s="21"/>
      <c r="G34" s="21"/>
      <c r="H34" s="21"/>
    </row>
    <row r="35" spans="1:8" hidden="1" x14ac:dyDescent="0.25">
      <c r="A35" s="349">
        <f>'Трудозатраты членов ВТК'!$D482</f>
        <v>0</v>
      </c>
      <c r="B35" s="349" t="e">
        <f>'Трудозатраты членов ВТК'!$B482</f>
        <v>#N/A</v>
      </c>
      <c r="C35" s="349">
        <f>'Трудозатраты членов ВТК'!$C482</f>
        <v>0</v>
      </c>
      <c r="D35" s="435"/>
      <c r="E35" s="21"/>
      <c r="F35" s="21"/>
      <c r="G35" s="21"/>
      <c r="H35" s="21"/>
    </row>
    <row r="36" spans="1:8" hidden="1" x14ac:dyDescent="0.25">
      <c r="A36" s="349">
        <f>'Трудозатраты членов ВТК'!$D483</f>
        <v>0</v>
      </c>
      <c r="B36" s="349" t="e">
        <f>'Трудозатраты членов ВТК'!$B483</f>
        <v>#N/A</v>
      </c>
      <c r="C36" s="349">
        <f>'Трудозатраты членов ВТК'!$C483</f>
        <v>0</v>
      </c>
      <c r="D36" s="435"/>
      <c r="E36" s="21"/>
      <c r="F36" s="21"/>
      <c r="G36" s="21"/>
      <c r="H36" s="21"/>
    </row>
    <row r="37" spans="1:8" hidden="1" x14ac:dyDescent="0.25">
      <c r="A37" s="349">
        <f>'Трудозатраты членов ВТК'!$D484</f>
        <v>0</v>
      </c>
      <c r="B37" s="349" t="e">
        <f>'Трудозатраты членов ВТК'!$B484</f>
        <v>#N/A</v>
      </c>
      <c r="C37" s="349">
        <f>'Трудозатраты членов ВТК'!$C484</f>
        <v>0</v>
      </c>
      <c r="D37" s="435"/>
      <c r="E37" s="21"/>
      <c r="F37" s="21"/>
      <c r="G37" s="21"/>
      <c r="H37" s="21"/>
    </row>
    <row r="38" spans="1:8" hidden="1" x14ac:dyDescent="0.25">
      <c r="A38" s="349">
        <f>'Трудозатраты членов ВТК'!$D485</f>
        <v>0</v>
      </c>
      <c r="B38" s="349" t="e">
        <f>'Трудозатраты членов ВТК'!$B485</f>
        <v>#N/A</v>
      </c>
      <c r="C38" s="349">
        <f>'Трудозатраты членов ВТК'!$C485</f>
        <v>0</v>
      </c>
      <c r="D38" s="435"/>
      <c r="E38" s="21"/>
      <c r="F38" s="21"/>
      <c r="G38" s="21"/>
      <c r="H38" s="21"/>
    </row>
    <row r="39" spans="1:8" hidden="1" x14ac:dyDescent="0.25">
      <c r="A39" s="349">
        <f>'Трудозатраты членов ВТК'!$D486</f>
        <v>0</v>
      </c>
      <c r="B39" s="349" t="e">
        <f>'Трудозатраты членов ВТК'!$B486</f>
        <v>#N/A</v>
      </c>
      <c r="C39" s="349">
        <f>'Трудозатраты членов ВТК'!$C486</f>
        <v>0</v>
      </c>
      <c r="D39" s="435"/>
      <c r="E39" s="21"/>
      <c r="F39" s="21"/>
      <c r="G39" s="21"/>
      <c r="H39" s="21"/>
    </row>
    <row r="40" spans="1:8" hidden="1" x14ac:dyDescent="0.25">
      <c r="A40" s="349">
        <f>'Трудозатраты членов ВТК'!$D487</f>
        <v>0</v>
      </c>
      <c r="B40" s="349" t="e">
        <f>'Трудозатраты членов ВТК'!$B487</f>
        <v>#N/A</v>
      </c>
      <c r="C40" s="349">
        <f>'Трудозатраты членов ВТК'!$C487</f>
        <v>0</v>
      </c>
      <c r="D40" s="435"/>
      <c r="E40" s="21"/>
      <c r="F40" s="21"/>
      <c r="G40" s="21"/>
      <c r="H40" s="21"/>
    </row>
    <row r="41" spans="1:8" hidden="1" x14ac:dyDescent="0.25">
      <c r="A41" s="349">
        <f>'Трудозатраты членов ВТК'!$D488</f>
        <v>0</v>
      </c>
      <c r="B41" s="349" t="e">
        <f>'Трудозатраты членов ВТК'!$B488</f>
        <v>#N/A</v>
      </c>
      <c r="C41" s="349">
        <f>'Трудозатраты членов ВТК'!$C488</f>
        <v>0</v>
      </c>
      <c r="D41" s="435"/>
      <c r="E41" s="21"/>
      <c r="F41" s="21"/>
      <c r="G41" s="21"/>
      <c r="H41" s="21"/>
    </row>
    <row r="42" spans="1:8" hidden="1" x14ac:dyDescent="0.25">
      <c r="A42" s="349">
        <f>'Трудозатраты членов ВТК'!$D489</f>
        <v>0</v>
      </c>
      <c r="B42" s="349" t="e">
        <f>'Трудозатраты членов ВТК'!$B489</f>
        <v>#N/A</v>
      </c>
      <c r="C42" s="349">
        <f>'Трудозатраты членов ВТК'!$C489</f>
        <v>0</v>
      </c>
      <c r="D42" s="435"/>
      <c r="E42" s="21"/>
      <c r="F42" s="21"/>
      <c r="G42" s="21"/>
      <c r="H42" s="21"/>
    </row>
    <row r="43" spans="1:8" hidden="1" x14ac:dyDescent="0.25">
      <c r="A43" s="349">
        <f>'Трудозатраты членов ВТК'!$D490</f>
        <v>0</v>
      </c>
      <c r="B43" s="349" t="e">
        <f>'Трудозатраты членов ВТК'!$B490</f>
        <v>#N/A</v>
      </c>
      <c r="C43" s="349">
        <f>'Трудозатраты членов ВТК'!$C490</f>
        <v>0</v>
      </c>
      <c r="D43" s="435"/>
      <c r="E43" s="21"/>
      <c r="F43" s="21"/>
      <c r="G43" s="21"/>
      <c r="H43" s="21"/>
    </row>
    <row r="44" spans="1:8" hidden="1" x14ac:dyDescent="0.25">
      <c r="A44" s="349">
        <f>'Трудозатраты членов ВТК'!$D491</f>
        <v>0</v>
      </c>
      <c r="B44" s="349" t="e">
        <f>'Трудозатраты членов ВТК'!$B491</f>
        <v>#N/A</v>
      </c>
      <c r="C44" s="349">
        <f>'Трудозатраты членов ВТК'!$C491</f>
        <v>0</v>
      </c>
      <c r="D44" s="435"/>
      <c r="E44" s="21"/>
      <c r="F44" s="21"/>
      <c r="G44" s="21"/>
      <c r="H44" s="21"/>
    </row>
    <row r="45" spans="1:8" hidden="1" x14ac:dyDescent="0.25">
      <c r="A45" s="349">
        <f>'Трудозатраты членов ВТК'!$D492</f>
        <v>0</v>
      </c>
      <c r="B45" s="349" t="e">
        <f>'Трудозатраты членов ВТК'!$B492</f>
        <v>#N/A</v>
      </c>
      <c r="C45" s="349">
        <f>'Трудозатраты членов ВТК'!$C492</f>
        <v>0</v>
      </c>
      <c r="D45" s="435"/>
      <c r="E45" s="21"/>
      <c r="F45" s="21"/>
      <c r="G45" s="21"/>
      <c r="H45" s="21"/>
    </row>
    <row r="46" spans="1:8" hidden="1" x14ac:dyDescent="0.25">
      <c r="A46" s="349">
        <f>'Трудозатраты членов ВТК'!$D493</f>
        <v>0</v>
      </c>
      <c r="B46" s="349" t="e">
        <f>'Трудозатраты членов ВТК'!$B493</f>
        <v>#N/A</v>
      </c>
      <c r="C46" s="349">
        <f>'Трудозатраты членов ВТК'!$C493</f>
        <v>0</v>
      </c>
      <c r="D46" s="435"/>
      <c r="E46" s="21"/>
      <c r="F46" s="21"/>
      <c r="G46" s="21"/>
      <c r="H46" s="21"/>
    </row>
    <row r="47" spans="1:8" hidden="1" x14ac:dyDescent="0.25">
      <c r="A47" s="349">
        <f>'Трудозатраты членов ВТК'!$D494</f>
        <v>0</v>
      </c>
      <c r="B47" s="349" t="e">
        <f>'Трудозатраты членов ВТК'!$B494</f>
        <v>#N/A</v>
      </c>
      <c r="C47" s="349">
        <f>'Трудозатраты членов ВТК'!$C494</f>
        <v>0</v>
      </c>
      <c r="D47" s="435"/>
      <c r="E47" s="21"/>
      <c r="F47" s="21"/>
      <c r="G47" s="21"/>
      <c r="H47" s="21"/>
    </row>
    <row r="48" spans="1:8" hidden="1" x14ac:dyDescent="0.25">
      <c r="A48" s="349">
        <f>'Трудозатраты членов ВТК'!$D495</f>
        <v>0</v>
      </c>
      <c r="B48" s="349" t="e">
        <f>'Трудозатраты членов ВТК'!$B495</f>
        <v>#N/A</v>
      </c>
      <c r="C48" s="349">
        <f>'Трудозатраты членов ВТК'!$C495</f>
        <v>0</v>
      </c>
      <c r="D48" s="435"/>
      <c r="E48" s="21"/>
      <c r="F48" s="21"/>
      <c r="G48" s="21"/>
      <c r="H48" s="21"/>
    </row>
    <row r="49" spans="1:8" hidden="1" x14ac:dyDescent="0.25">
      <c r="A49" s="349">
        <f>'Трудозатраты членов ВТК'!$D496</f>
        <v>0</v>
      </c>
      <c r="B49" s="349" t="e">
        <f>'Трудозатраты членов ВТК'!$B496</f>
        <v>#N/A</v>
      </c>
      <c r="C49" s="349">
        <f>'Трудозатраты членов ВТК'!$C496</f>
        <v>0</v>
      </c>
      <c r="D49" s="435"/>
      <c r="E49" s="21"/>
      <c r="F49" s="21"/>
      <c r="G49" s="21"/>
      <c r="H49" s="21"/>
    </row>
    <row r="50" spans="1:8" hidden="1" x14ac:dyDescent="0.25">
      <c r="A50" s="349">
        <f>'Трудозатраты членов ВТК'!$D497</f>
        <v>0</v>
      </c>
      <c r="B50" s="349" t="e">
        <f>'Трудозатраты членов ВТК'!$B497</f>
        <v>#N/A</v>
      </c>
      <c r="C50" s="349">
        <f>'Трудозатраты членов ВТК'!$C497</f>
        <v>0</v>
      </c>
      <c r="D50" s="435"/>
      <c r="E50" s="21"/>
      <c r="F50" s="21"/>
      <c r="G50" s="21"/>
      <c r="H50" s="21"/>
    </row>
    <row r="51" spans="1:8" hidden="1" x14ac:dyDescent="0.25">
      <c r="A51" s="349">
        <f>'Трудозатраты членов ВТК'!$D498</f>
        <v>0</v>
      </c>
      <c r="B51" s="349" t="e">
        <f>'Трудозатраты членов ВТК'!$B498</f>
        <v>#N/A</v>
      </c>
      <c r="C51" s="349">
        <f>'Трудозатраты членов ВТК'!$C498</f>
        <v>0</v>
      </c>
      <c r="D51" s="435"/>
      <c r="E51" s="21"/>
      <c r="F51" s="21"/>
      <c r="G51" s="21"/>
      <c r="H51" s="21"/>
    </row>
    <row r="52" spans="1:8" hidden="1" x14ac:dyDescent="0.25">
      <c r="A52" s="349">
        <f>'Трудозатраты членов ВТК'!$D499</f>
        <v>0</v>
      </c>
      <c r="B52" s="349" t="e">
        <f>'Трудозатраты членов ВТК'!$B499</f>
        <v>#N/A</v>
      </c>
      <c r="C52" s="349">
        <f>'Трудозатраты членов ВТК'!$C499</f>
        <v>0</v>
      </c>
      <c r="D52" s="435"/>
      <c r="E52" s="21"/>
      <c r="F52" s="21"/>
      <c r="G52" s="21"/>
      <c r="H52" s="21"/>
    </row>
    <row r="53" spans="1:8" hidden="1" x14ac:dyDescent="0.25">
      <c r="A53" s="349">
        <f>'Трудозатраты членов ВТК'!$D500</f>
        <v>0</v>
      </c>
      <c r="B53" s="349" t="e">
        <f>'Трудозатраты членов ВТК'!$B500</f>
        <v>#N/A</v>
      </c>
      <c r="C53" s="349">
        <f>'Трудозатраты членов ВТК'!$C500</f>
        <v>0</v>
      </c>
      <c r="D53" s="435"/>
      <c r="E53" s="21"/>
      <c r="F53" s="21"/>
      <c r="G53" s="21"/>
      <c r="H53" s="21"/>
    </row>
    <row r="54" spans="1:8" hidden="1" x14ac:dyDescent="0.25">
      <c r="A54" s="349">
        <f>'Трудозатраты членов ВТК'!$D501</f>
        <v>0</v>
      </c>
      <c r="B54" s="349" t="e">
        <f>'Трудозатраты членов ВТК'!$B501</f>
        <v>#N/A</v>
      </c>
      <c r="C54" s="349">
        <f>'Трудозатраты членов ВТК'!$C501</f>
        <v>0</v>
      </c>
      <c r="D54" s="435"/>
      <c r="E54" s="21"/>
      <c r="F54" s="21"/>
      <c r="G54" s="21"/>
      <c r="H54" s="21"/>
    </row>
    <row r="55" spans="1:8" hidden="1" x14ac:dyDescent="0.25">
      <c r="A55" s="349">
        <f>'Трудозатраты членов ВТК'!$D502</f>
        <v>0</v>
      </c>
      <c r="B55" s="349" t="e">
        <f>'Трудозатраты членов ВТК'!$B502</f>
        <v>#N/A</v>
      </c>
      <c r="C55" s="349">
        <f>'Трудозатраты членов ВТК'!$C502</f>
        <v>0</v>
      </c>
      <c r="D55" s="435"/>
      <c r="E55" s="21"/>
      <c r="F55" s="21"/>
      <c r="G55" s="21"/>
      <c r="H55" s="21"/>
    </row>
    <row r="56" spans="1:8" hidden="1" x14ac:dyDescent="0.25">
      <c r="A56" s="349">
        <f>'Трудозатраты членов ВТК'!$D503</f>
        <v>0</v>
      </c>
      <c r="B56" s="349" t="e">
        <f>'Трудозатраты членов ВТК'!$B503</f>
        <v>#N/A</v>
      </c>
      <c r="C56" s="349">
        <f>'Трудозатраты членов ВТК'!$C503</f>
        <v>0</v>
      </c>
      <c r="D56" s="435"/>
      <c r="E56" s="21"/>
      <c r="F56" s="21"/>
      <c r="G56" s="21"/>
      <c r="H56" s="21"/>
    </row>
    <row r="57" spans="1:8" hidden="1" x14ac:dyDescent="0.25">
      <c r="A57" s="349">
        <f>'Трудозатраты членов ВТК'!$D504</f>
        <v>0</v>
      </c>
      <c r="B57" s="349" t="e">
        <f>'Трудозатраты членов ВТК'!$B504</f>
        <v>#N/A</v>
      </c>
      <c r="C57" s="349">
        <f>'Трудозатраты членов ВТК'!$C504</f>
        <v>0</v>
      </c>
      <c r="D57" s="435"/>
      <c r="E57" s="21"/>
      <c r="F57" s="21"/>
      <c r="G57" s="21"/>
      <c r="H57" s="21"/>
    </row>
    <row r="58" spans="1:8" hidden="1" x14ac:dyDescent="0.25">
      <c r="A58" s="349">
        <f>'Трудозатраты членов ВТК'!$D505</f>
        <v>0</v>
      </c>
      <c r="B58" s="349" t="e">
        <f>'Трудозатраты членов ВТК'!$B505</f>
        <v>#N/A</v>
      </c>
      <c r="C58" s="349">
        <f>'Трудозатраты членов ВТК'!$C505</f>
        <v>0</v>
      </c>
      <c r="D58" s="435"/>
      <c r="E58" s="21"/>
      <c r="F58" s="21"/>
      <c r="G58" s="21"/>
      <c r="H58" s="21"/>
    </row>
    <row r="59" spans="1:8" hidden="1" x14ac:dyDescent="0.25">
      <c r="A59" s="349">
        <f>'Трудозатраты членов ВТК'!$D506</f>
        <v>0</v>
      </c>
      <c r="B59" s="349" t="e">
        <f>'Трудозатраты членов ВТК'!$B506</f>
        <v>#N/A</v>
      </c>
      <c r="C59" s="349">
        <f>'Трудозатраты членов ВТК'!$C506</f>
        <v>0</v>
      </c>
      <c r="D59" s="435"/>
      <c r="E59" s="21"/>
      <c r="F59" s="21"/>
      <c r="G59" s="21"/>
      <c r="H59" s="21"/>
    </row>
    <row r="60" spans="1:8" hidden="1" x14ac:dyDescent="0.25">
      <c r="A60" s="349">
        <f>'Трудозатраты членов ВТК'!$D507</f>
        <v>0</v>
      </c>
      <c r="B60" s="349" t="e">
        <f>'Трудозатраты членов ВТК'!$B507</f>
        <v>#N/A</v>
      </c>
      <c r="C60" s="349">
        <f>'Трудозатраты членов ВТК'!$C507</f>
        <v>0</v>
      </c>
      <c r="D60" s="435"/>
      <c r="E60" s="21"/>
      <c r="F60" s="21"/>
      <c r="G60" s="21"/>
      <c r="H60" s="21"/>
    </row>
    <row r="61" spans="1:8" hidden="1" x14ac:dyDescent="0.25">
      <c r="A61" s="349">
        <f>'Трудозатраты членов ВТК'!$D508</f>
        <v>0</v>
      </c>
      <c r="B61" s="349" t="e">
        <f>'Трудозатраты членов ВТК'!$B508</f>
        <v>#N/A</v>
      </c>
      <c r="C61" s="349">
        <f>'Трудозатраты членов ВТК'!$C508</f>
        <v>0</v>
      </c>
      <c r="D61" s="435"/>
      <c r="E61" s="21"/>
      <c r="F61" s="21"/>
      <c r="G61" s="21"/>
      <c r="H61" s="21"/>
    </row>
    <row r="62" spans="1:8" hidden="1" x14ac:dyDescent="0.25">
      <c r="A62" s="349">
        <f>'Трудозатраты членов ВТК'!$D509</f>
        <v>0</v>
      </c>
      <c r="B62" s="349" t="e">
        <f>'Трудозатраты членов ВТК'!$B509</f>
        <v>#N/A</v>
      </c>
      <c r="C62" s="349">
        <f>'Трудозатраты членов ВТК'!$C509</f>
        <v>0</v>
      </c>
      <c r="D62" s="435"/>
      <c r="E62" s="21"/>
      <c r="F62" s="21"/>
      <c r="G62" s="21"/>
      <c r="H62" s="21"/>
    </row>
    <row r="63" spans="1:8" hidden="1" x14ac:dyDescent="0.25">
      <c r="A63" s="349">
        <f>'Трудозатраты членов ВТК'!$D510</f>
        <v>0</v>
      </c>
      <c r="B63" s="349" t="e">
        <f>'Трудозатраты членов ВТК'!$B510</f>
        <v>#N/A</v>
      </c>
      <c r="C63" s="349">
        <f>'Трудозатраты членов ВТК'!$C510</f>
        <v>0</v>
      </c>
      <c r="D63" s="435"/>
      <c r="E63" s="21"/>
      <c r="F63" s="21"/>
      <c r="G63" s="21"/>
      <c r="H63" s="21"/>
    </row>
    <row r="64" spans="1:8" hidden="1" x14ac:dyDescent="0.25">
      <c r="A64" s="349">
        <f>'Трудозатраты членов ВТК'!$D511</f>
        <v>0</v>
      </c>
      <c r="B64" s="349" t="e">
        <f>'Трудозатраты членов ВТК'!$B511</f>
        <v>#N/A</v>
      </c>
      <c r="C64" s="349">
        <f>'Трудозатраты членов ВТК'!$C511</f>
        <v>0</v>
      </c>
      <c r="D64" s="435"/>
      <c r="E64" s="21"/>
      <c r="F64" s="21"/>
      <c r="G64" s="21"/>
      <c r="H64" s="21"/>
    </row>
    <row r="65" spans="1:8" hidden="1" x14ac:dyDescent="0.25">
      <c r="A65" s="349">
        <f>'Трудозатраты членов ВТК'!$D512</f>
        <v>0</v>
      </c>
      <c r="B65" s="349" t="e">
        <f>'Трудозатраты членов ВТК'!$B512</f>
        <v>#N/A</v>
      </c>
      <c r="C65" s="349">
        <f>'Трудозатраты членов ВТК'!$C512</f>
        <v>0</v>
      </c>
      <c r="D65" s="435"/>
      <c r="E65" s="21"/>
      <c r="F65" s="21"/>
      <c r="G65" s="21"/>
      <c r="H65" s="21"/>
    </row>
    <row r="66" spans="1:8" hidden="1" x14ac:dyDescent="0.25">
      <c r="A66" s="349">
        <f>'Трудозатраты членов ВТК'!$D513</f>
        <v>0</v>
      </c>
      <c r="B66" s="349" t="e">
        <f>'Трудозатраты членов ВТК'!$B513</f>
        <v>#N/A</v>
      </c>
      <c r="C66" s="349">
        <f>'Трудозатраты членов ВТК'!$C513</f>
        <v>0</v>
      </c>
      <c r="D66" s="435"/>
      <c r="E66" s="21"/>
      <c r="F66" s="21"/>
      <c r="G66" s="21"/>
      <c r="H66" s="21"/>
    </row>
    <row r="67" spans="1:8" hidden="1" x14ac:dyDescent="0.25">
      <c r="A67" s="349">
        <f>'Трудозатраты членов ВТК'!$D514</f>
        <v>0</v>
      </c>
      <c r="B67" s="349" t="e">
        <f>'Трудозатраты членов ВТК'!$B514</f>
        <v>#N/A</v>
      </c>
      <c r="C67" s="349">
        <f>'Трудозатраты членов ВТК'!$C514</f>
        <v>0</v>
      </c>
      <c r="D67" s="435"/>
      <c r="E67" s="21"/>
      <c r="F67" s="21"/>
      <c r="G67" s="21"/>
      <c r="H67" s="21"/>
    </row>
    <row r="68" spans="1:8" hidden="1" x14ac:dyDescent="0.25">
      <c r="A68" s="349">
        <f>'Трудозатраты членов ВТК'!$D515</f>
        <v>0</v>
      </c>
      <c r="B68" s="349" t="e">
        <f>'Трудозатраты членов ВТК'!$B515</f>
        <v>#N/A</v>
      </c>
      <c r="C68" s="349">
        <f>'Трудозатраты членов ВТК'!$C515</f>
        <v>0</v>
      </c>
      <c r="D68" s="435"/>
      <c r="E68" s="21"/>
      <c r="F68" s="21"/>
      <c r="G68" s="21"/>
      <c r="H68" s="21"/>
    </row>
    <row r="69" spans="1:8" hidden="1" x14ac:dyDescent="0.25">
      <c r="A69" s="349">
        <f>'Трудозатраты членов ВТК'!$D516</f>
        <v>0</v>
      </c>
      <c r="B69" s="349" t="e">
        <f>'Трудозатраты членов ВТК'!$B516</f>
        <v>#N/A</v>
      </c>
      <c r="C69" s="349">
        <f>'Трудозатраты членов ВТК'!$C516</f>
        <v>0</v>
      </c>
      <c r="D69" s="435"/>
      <c r="E69" s="21"/>
      <c r="F69" s="21"/>
      <c r="G69" s="21"/>
      <c r="H69" s="21"/>
    </row>
    <row r="70" spans="1:8" hidden="1" x14ac:dyDescent="0.25">
      <c r="A70" s="349">
        <f>'Трудозатраты членов ВТК'!$D517</f>
        <v>0</v>
      </c>
      <c r="B70" s="349" t="e">
        <f>'Трудозатраты членов ВТК'!$B517</f>
        <v>#N/A</v>
      </c>
      <c r="C70" s="349">
        <f>'Трудозатраты членов ВТК'!$C517</f>
        <v>0</v>
      </c>
      <c r="D70" s="435"/>
      <c r="E70" s="21"/>
      <c r="F70" s="21"/>
      <c r="G70" s="21"/>
      <c r="H70" s="21"/>
    </row>
    <row r="71" spans="1:8" hidden="1" x14ac:dyDescent="0.25">
      <c r="A71" s="349">
        <f>'Трудозатраты членов ВТК'!$D518</f>
        <v>0</v>
      </c>
      <c r="B71" s="349" t="e">
        <f>'Трудозатраты членов ВТК'!$B518</f>
        <v>#N/A</v>
      </c>
      <c r="C71" s="349">
        <f>'Трудозатраты членов ВТК'!$C518</f>
        <v>0</v>
      </c>
      <c r="D71" s="435"/>
      <c r="E71" s="21"/>
      <c r="F71" s="21"/>
      <c r="G71" s="21"/>
      <c r="H71" s="21"/>
    </row>
    <row r="72" spans="1:8" hidden="1" x14ac:dyDescent="0.25">
      <c r="A72" s="349">
        <f>'Трудозатраты членов ВТК'!$D519</f>
        <v>0</v>
      </c>
      <c r="B72" s="349" t="e">
        <f>'Трудозатраты членов ВТК'!$B519</f>
        <v>#N/A</v>
      </c>
      <c r="C72" s="349">
        <f>'Трудозатраты членов ВТК'!$C519</f>
        <v>0</v>
      </c>
      <c r="D72" s="435"/>
      <c r="E72" s="21"/>
      <c r="F72" s="21"/>
      <c r="G72" s="21"/>
      <c r="H72" s="21"/>
    </row>
    <row r="73" spans="1:8" hidden="1" x14ac:dyDescent="0.25">
      <c r="A73" s="349">
        <f>'Трудозатраты членов ВТК'!$D520</f>
        <v>0</v>
      </c>
      <c r="B73" s="349" t="e">
        <f>'Трудозатраты членов ВТК'!$B520</f>
        <v>#N/A</v>
      </c>
      <c r="C73" s="349">
        <f>'Трудозатраты членов ВТК'!$C520</f>
        <v>0</v>
      </c>
      <c r="D73" s="435"/>
      <c r="E73" s="21"/>
      <c r="F73" s="21"/>
      <c r="G73" s="21"/>
      <c r="H73" s="21"/>
    </row>
    <row r="74" spans="1:8" hidden="1" x14ac:dyDescent="0.25">
      <c r="A74" s="349">
        <f>'Трудозатраты членов ВТК'!$D521</f>
        <v>0</v>
      </c>
      <c r="B74" s="349" t="e">
        <f>'Трудозатраты членов ВТК'!$B521</f>
        <v>#N/A</v>
      </c>
      <c r="C74" s="349">
        <f>'Трудозатраты членов ВТК'!$C521</f>
        <v>0</v>
      </c>
      <c r="D74" s="435"/>
      <c r="E74" s="21"/>
      <c r="F74" s="21"/>
      <c r="G74" s="21"/>
      <c r="H74" s="21"/>
    </row>
    <row r="75" spans="1:8" hidden="1" x14ac:dyDescent="0.25">
      <c r="A75" s="349">
        <f>'Трудозатраты членов ВТК'!$D522</f>
        <v>0</v>
      </c>
      <c r="B75" s="349" t="e">
        <f>'Трудозатраты членов ВТК'!$B522</f>
        <v>#N/A</v>
      </c>
      <c r="C75" s="349">
        <f>'Трудозатраты членов ВТК'!$C522</f>
        <v>0</v>
      </c>
      <c r="D75" s="435"/>
      <c r="E75" s="21"/>
      <c r="F75" s="21"/>
      <c r="G75" s="21"/>
      <c r="H75" s="21"/>
    </row>
    <row r="76" spans="1:8" hidden="1" x14ac:dyDescent="0.25">
      <c r="A76" s="349">
        <f>'Трудозатраты членов ВТК'!$D523</f>
        <v>0</v>
      </c>
      <c r="B76" s="349" t="e">
        <f>'Трудозатраты членов ВТК'!$B523</f>
        <v>#N/A</v>
      </c>
      <c r="C76" s="349">
        <f>'Трудозатраты членов ВТК'!$C523</f>
        <v>0</v>
      </c>
      <c r="D76" s="435"/>
      <c r="E76" s="21"/>
      <c r="F76" s="21"/>
      <c r="G76" s="21"/>
      <c r="H76" s="21"/>
    </row>
    <row r="77" spans="1:8" hidden="1" x14ac:dyDescent="0.25">
      <c r="A77" s="349">
        <f>'Трудозатраты членов ВТК'!$D524</f>
        <v>0</v>
      </c>
      <c r="B77" s="349" t="e">
        <f>'Трудозатраты членов ВТК'!$B524</f>
        <v>#N/A</v>
      </c>
      <c r="C77" s="349">
        <f>'Трудозатраты членов ВТК'!$C524</f>
        <v>0</v>
      </c>
      <c r="D77" s="435"/>
      <c r="E77" s="21"/>
      <c r="F77" s="21"/>
      <c r="G77" s="21"/>
      <c r="H77" s="21"/>
    </row>
    <row r="78" spans="1:8" hidden="1" x14ac:dyDescent="0.25">
      <c r="A78" s="349">
        <f>'Трудозатраты членов ВТК'!$D525</f>
        <v>0</v>
      </c>
      <c r="B78" s="349" t="e">
        <f>'Трудозатраты членов ВТК'!$B525</f>
        <v>#N/A</v>
      </c>
      <c r="C78" s="349">
        <f>'Трудозатраты членов ВТК'!$C525</f>
        <v>0</v>
      </c>
      <c r="D78" s="435"/>
      <c r="E78" s="21"/>
      <c r="F78" s="21"/>
      <c r="G78" s="21"/>
      <c r="H78" s="21"/>
    </row>
    <row r="79" spans="1:8" hidden="1" x14ac:dyDescent="0.25">
      <c r="A79" s="349">
        <f>'Трудозатраты членов ВТК'!$D526</f>
        <v>0</v>
      </c>
      <c r="B79" s="349" t="e">
        <f>'Трудозатраты членов ВТК'!$B526</f>
        <v>#N/A</v>
      </c>
      <c r="C79" s="349">
        <f>'Трудозатраты членов ВТК'!$C526</f>
        <v>0</v>
      </c>
      <c r="D79" s="435"/>
      <c r="E79" s="21"/>
      <c r="F79" s="21"/>
      <c r="G79" s="21"/>
      <c r="H79" s="21"/>
    </row>
    <row r="80" spans="1:8" hidden="1" x14ac:dyDescent="0.25">
      <c r="A80" s="349">
        <f>'Трудозатраты членов ВТК'!$D527</f>
        <v>0</v>
      </c>
      <c r="B80" s="349" t="e">
        <f>'Трудозатраты членов ВТК'!$B527</f>
        <v>#N/A</v>
      </c>
      <c r="C80" s="349">
        <f>'Трудозатраты членов ВТК'!$C527</f>
        <v>0</v>
      </c>
      <c r="D80" s="435"/>
      <c r="E80" s="21"/>
      <c r="F80" s="21"/>
      <c r="G80" s="21"/>
      <c r="H80" s="21"/>
    </row>
    <row r="81" spans="1:8" hidden="1" x14ac:dyDescent="0.25">
      <c r="A81" s="349">
        <f>'Трудозатраты членов ВТК'!$D528</f>
        <v>0</v>
      </c>
      <c r="B81" s="349" t="e">
        <f>'Трудозатраты членов ВТК'!$B528</f>
        <v>#N/A</v>
      </c>
      <c r="C81" s="349">
        <f>'Трудозатраты членов ВТК'!$C528</f>
        <v>0</v>
      </c>
      <c r="D81" s="435"/>
      <c r="E81" s="21"/>
      <c r="F81" s="21"/>
      <c r="G81" s="21"/>
      <c r="H81" s="21"/>
    </row>
    <row r="82" spans="1:8" hidden="1" x14ac:dyDescent="0.25">
      <c r="A82" s="349">
        <f>'Трудозатраты членов ВТК'!$D529</f>
        <v>0</v>
      </c>
      <c r="B82" s="349" t="e">
        <f>'Трудозатраты членов ВТК'!$B529</f>
        <v>#N/A</v>
      </c>
      <c r="C82" s="349">
        <f>'Трудозатраты членов ВТК'!$C529</f>
        <v>0</v>
      </c>
      <c r="D82" s="435"/>
      <c r="E82" s="21"/>
      <c r="F82" s="21"/>
      <c r="G82" s="21"/>
      <c r="H82" s="21"/>
    </row>
    <row r="83" spans="1:8" hidden="1" x14ac:dyDescent="0.25">
      <c r="A83" s="349">
        <f>'Трудозатраты членов ВТК'!$D530</f>
        <v>0</v>
      </c>
      <c r="B83" s="349" t="e">
        <f>'Трудозатраты членов ВТК'!$B530</f>
        <v>#N/A</v>
      </c>
      <c r="C83" s="349">
        <f>'Трудозатраты членов ВТК'!$C530</f>
        <v>0</v>
      </c>
      <c r="D83" s="435"/>
      <c r="E83" s="21"/>
      <c r="F83" s="21"/>
      <c r="G83" s="21"/>
      <c r="H83" s="21"/>
    </row>
    <row r="84" spans="1:8" hidden="1" x14ac:dyDescent="0.25">
      <c r="A84" s="349">
        <f>'Трудозатраты членов ВТК'!$D531</f>
        <v>0</v>
      </c>
      <c r="B84" s="349" t="e">
        <f>'Трудозатраты членов ВТК'!$B531</f>
        <v>#N/A</v>
      </c>
      <c r="C84" s="349">
        <f>'Трудозатраты членов ВТК'!$C531</f>
        <v>0</v>
      </c>
      <c r="D84" s="435"/>
      <c r="E84" s="21"/>
      <c r="F84" s="21"/>
      <c r="G84" s="21"/>
      <c r="H84" s="21"/>
    </row>
    <row r="85" spans="1:8" hidden="1" x14ac:dyDescent="0.25">
      <c r="A85" s="349">
        <f>'Трудозатраты членов ВТК'!$D532</f>
        <v>0</v>
      </c>
      <c r="B85" s="349" t="e">
        <f>'Трудозатраты членов ВТК'!$B532</f>
        <v>#N/A</v>
      </c>
      <c r="C85" s="349">
        <f>'Трудозатраты членов ВТК'!$C532</f>
        <v>0</v>
      </c>
      <c r="D85" s="435"/>
      <c r="E85" s="21"/>
      <c r="F85" s="21"/>
      <c r="G85" s="21"/>
      <c r="H85" s="21"/>
    </row>
    <row r="86" spans="1:8" hidden="1" x14ac:dyDescent="0.25">
      <c r="A86" s="349">
        <f>'Трудозатраты членов ВТК'!$D533</f>
        <v>0</v>
      </c>
      <c r="B86" s="349" t="e">
        <f>'Трудозатраты членов ВТК'!$B533</f>
        <v>#N/A</v>
      </c>
      <c r="C86" s="349">
        <f>'Трудозатраты членов ВТК'!$C533</f>
        <v>0</v>
      </c>
      <c r="D86" s="435"/>
      <c r="E86" s="21"/>
      <c r="F86" s="21"/>
      <c r="G86" s="21"/>
      <c r="H86" s="21"/>
    </row>
    <row r="87" spans="1:8" hidden="1" x14ac:dyDescent="0.25">
      <c r="A87" s="349">
        <f>'Трудозатраты членов ВТК'!$D534</f>
        <v>0</v>
      </c>
      <c r="B87" s="349" t="e">
        <f>'Трудозатраты членов ВТК'!$B534</f>
        <v>#N/A</v>
      </c>
      <c r="C87" s="349">
        <f>'Трудозатраты членов ВТК'!$C534</f>
        <v>0</v>
      </c>
      <c r="D87" s="435"/>
      <c r="E87" s="21"/>
      <c r="F87" s="21"/>
      <c r="G87" s="21"/>
      <c r="H87" s="21"/>
    </row>
    <row r="88" spans="1:8" hidden="1" x14ac:dyDescent="0.25">
      <c r="A88" s="349">
        <f>'Трудозатраты членов ВТК'!$D535</f>
        <v>0</v>
      </c>
      <c r="B88" s="349" t="e">
        <f>'Трудозатраты членов ВТК'!$B535</f>
        <v>#N/A</v>
      </c>
      <c r="C88" s="349">
        <f>'Трудозатраты членов ВТК'!$C535</f>
        <v>0</v>
      </c>
      <c r="D88" s="435"/>
      <c r="E88" s="21"/>
      <c r="F88" s="21"/>
      <c r="G88" s="21"/>
      <c r="H88" s="21"/>
    </row>
    <row r="89" spans="1:8" hidden="1" x14ac:dyDescent="0.25">
      <c r="A89" s="349">
        <f>'Трудозатраты членов ВТК'!$D536</f>
        <v>0</v>
      </c>
      <c r="B89" s="349" t="e">
        <f>'Трудозатраты членов ВТК'!$B536</f>
        <v>#N/A</v>
      </c>
      <c r="C89" s="349">
        <f>'Трудозатраты членов ВТК'!$C536</f>
        <v>0</v>
      </c>
      <c r="D89" s="435"/>
      <c r="E89" s="21"/>
      <c r="F89" s="21"/>
      <c r="G89" s="21"/>
      <c r="H89" s="21"/>
    </row>
    <row r="90" spans="1:8" hidden="1" x14ac:dyDescent="0.25">
      <c r="A90" s="349">
        <f>'Трудозатраты членов ВТК'!$D537</f>
        <v>0</v>
      </c>
      <c r="B90" s="349" t="e">
        <f>'Трудозатраты членов ВТК'!$B537</f>
        <v>#N/A</v>
      </c>
      <c r="C90" s="349">
        <f>'Трудозатраты членов ВТК'!$C537</f>
        <v>0</v>
      </c>
      <c r="D90" s="435"/>
      <c r="E90" s="21"/>
      <c r="F90" s="21"/>
      <c r="G90" s="21"/>
      <c r="H90" s="21"/>
    </row>
    <row r="91" spans="1:8" hidden="1" x14ac:dyDescent="0.25">
      <c r="A91" s="349">
        <f>'Трудозатраты членов ВТК'!$D538</f>
        <v>0</v>
      </c>
      <c r="B91" s="349" t="e">
        <f>'Трудозатраты членов ВТК'!$B538</f>
        <v>#N/A</v>
      </c>
      <c r="C91" s="349">
        <f>'Трудозатраты членов ВТК'!$C538</f>
        <v>0</v>
      </c>
      <c r="D91" s="435"/>
      <c r="E91" s="21"/>
      <c r="F91" s="21"/>
      <c r="G91" s="21"/>
      <c r="H91" s="21"/>
    </row>
    <row r="92" spans="1:8" hidden="1" x14ac:dyDescent="0.25">
      <c r="A92" s="349">
        <f>'Трудозатраты членов ВТК'!$D539</f>
        <v>0</v>
      </c>
      <c r="B92" s="349" t="e">
        <f>'Трудозатраты членов ВТК'!$B539</f>
        <v>#N/A</v>
      </c>
      <c r="C92" s="349">
        <f>'Трудозатраты членов ВТК'!$C539</f>
        <v>0</v>
      </c>
      <c r="D92" s="435"/>
      <c r="E92" s="21"/>
      <c r="F92" s="21"/>
      <c r="G92" s="21"/>
      <c r="H92" s="21"/>
    </row>
    <row r="93" spans="1:8" hidden="1" x14ac:dyDescent="0.25">
      <c r="A93" s="349">
        <f>'Трудозатраты членов ВТК'!$D540</f>
        <v>0</v>
      </c>
      <c r="B93" s="349" t="e">
        <f>'Трудозатраты членов ВТК'!$B540</f>
        <v>#N/A</v>
      </c>
      <c r="C93" s="349">
        <f>'Трудозатраты членов ВТК'!$C540</f>
        <v>0</v>
      </c>
      <c r="D93" s="435"/>
      <c r="E93" s="21"/>
      <c r="F93" s="21"/>
      <c r="G93" s="21"/>
      <c r="H93" s="21"/>
    </row>
    <row r="94" spans="1:8" hidden="1" x14ac:dyDescent="0.25">
      <c r="A94" s="349">
        <f>'Трудозатраты членов ВТК'!$D541</f>
        <v>0</v>
      </c>
      <c r="B94" s="349" t="e">
        <f>'Трудозатраты членов ВТК'!$B541</f>
        <v>#N/A</v>
      </c>
      <c r="C94" s="349">
        <f>'Трудозатраты членов ВТК'!$C541</f>
        <v>0</v>
      </c>
      <c r="D94" s="435"/>
      <c r="E94" s="21"/>
      <c r="F94" s="21"/>
      <c r="G94" s="21"/>
      <c r="H94" s="21"/>
    </row>
    <row r="95" spans="1:8" hidden="1" x14ac:dyDescent="0.25">
      <c r="A95" s="349">
        <f>'Трудозатраты членов ВТК'!$D542</f>
        <v>0</v>
      </c>
      <c r="B95" s="349" t="e">
        <f>'Трудозатраты членов ВТК'!$B542</f>
        <v>#N/A</v>
      </c>
      <c r="C95" s="349">
        <f>'Трудозатраты членов ВТК'!$C542</f>
        <v>0</v>
      </c>
      <c r="D95" s="435"/>
      <c r="E95" s="21"/>
      <c r="F95" s="21"/>
      <c r="G95" s="21"/>
      <c r="H95" s="21"/>
    </row>
    <row r="96" spans="1:8" hidden="1" x14ac:dyDescent="0.25">
      <c r="A96" s="349">
        <f>'Трудозатраты членов ВТК'!$D543</f>
        <v>0</v>
      </c>
      <c r="B96" s="349" t="e">
        <f>'Трудозатраты членов ВТК'!$B543</f>
        <v>#N/A</v>
      </c>
      <c r="C96" s="349">
        <f>'Трудозатраты членов ВТК'!$C543</f>
        <v>0</v>
      </c>
      <c r="D96" s="435"/>
      <c r="E96" s="21"/>
      <c r="F96" s="21"/>
      <c r="G96" s="21"/>
      <c r="H96" s="21"/>
    </row>
    <row r="97" spans="1:8" hidden="1" x14ac:dyDescent="0.25">
      <c r="A97" s="349">
        <f>'Трудозатраты членов ВТК'!$D544</f>
        <v>0</v>
      </c>
      <c r="B97" s="349" t="e">
        <f>'Трудозатраты членов ВТК'!$B544</f>
        <v>#N/A</v>
      </c>
      <c r="C97" s="349">
        <f>'Трудозатраты членов ВТК'!$C544</f>
        <v>0</v>
      </c>
      <c r="D97" s="435"/>
      <c r="E97" s="21"/>
      <c r="F97" s="21"/>
      <c r="G97" s="21"/>
      <c r="H97" s="21"/>
    </row>
    <row r="98" spans="1:8" hidden="1" x14ac:dyDescent="0.25">
      <c r="A98" s="349">
        <f>'Трудозатраты членов ВТК'!$D545</f>
        <v>0</v>
      </c>
      <c r="B98" s="349" t="e">
        <f>'Трудозатраты членов ВТК'!$B545</f>
        <v>#N/A</v>
      </c>
      <c r="C98" s="349">
        <f>'Трудозатраты членов ВТК'!$C545</f>
        <v>0</v>
      </c>
      <c r="D98" s="435"/>
      <c r="E98" s="21"/>
      <c r="F98" s="21"/>
      <c r="G98" s="21"/>
      <c r="H98" s="21"/>
    </row>
    <row r="99" spans="1:8" hidden="1" x14ac:dyDescent="0.25">
      <c r="A99" s="349">
        <f>'Трудозатраты членов ВТК'!$D546</f>
        <v>0</v>
      </c>
      <c r="B99" s="349" t="e">
        <f>'Трудозатраты членов ВТК'!$B546</f>
        <v>#N/A</v>
      </c>
      <c r="C99" s="349">
        <f>'Трудозатраты членов ВТК'!$C546</f>
        <v>0</v>
      </c>
      <c r="D99" s="435"/>
      <c r="E99" s="21"/>
      <c r="F99" s="21"/>
      <c r="G99" s="21"/>
      <c r="H99" s="21"/>
    </row>
    <row r="100" spans="1:8" hidden="1" x14ac:dyDescent="0.25">
      <c r="A100" s="349">
        <f>'Трудозатраты членов ВТК'!$D547</f>
        <v>0</v>
      </c>
      <c r="B100" s="349" t="e">
        <f>'Трудозатраты членов ВТК'!$B547</f>
        <v>#N/A</v>
      </c>
      <c r="C100" s="349">
        <f>'Трудозатраты членов ВТК'!$C547</f>
        <v>0</v>
      </c>
      <c r="D100" s="435"/>
      <c r="E100" s="21"/>
      <c r="F100" s="21"/>
      <c r="G100" s="21"/>
      <c r="H100" s="21"/>
    </row>
    <row r="101" spans="1:8" hidden="1" x14ac:dyDescent="0.25">
      <c r="A101" s="349">
        <f>'Трудозатраты членов ВТК'!$D548</f>
        <v>0</v>
      </c>
      <c r="B101" s="349" t="e">
        <f>'Трудозатраты членов ВТК'!$B548</f>
        <v>#N/A</v>
      </c>
      <c r="C101" s="349">
        <f>'Трудозатраты членов ВТК'!$C548</f>
        <v>0</v>
      </c>
      <c r="D101" s="435"/>
      <c r="E101" s="21"/>
      <c r="F101" s="21"/>
      <c r="G101" s="21"/>
      <c r="H101" s="21"/>
    </row>
    <row r="102" spans="1:8" hidden="1" x14ac:dyDescent="0.25">
      <c r="A102" s="349">
        <f>'Трудозатраты членов ВТК'!$D549</f>
        <v>0</v>
      </c>
      <c r="B102" s="349" t="e">
        <f>'Трудозатраты членов ВТК'!$B549</f>
        <v>#N/A</v>
      </c>
      <c r="C102" s="349">
        <f>'Трудозатраты членов ВТК'!$C549</f>
        <v>0</v>
      </c>
      <c r="D102" s="435"/>
      <c r="E102" s="21"/>
      <c r="F102" s="21"/>
      <c r="G102" s="21"/>
      <c r="H102" s="21"/>
    </row>
    <row r="103" spans="1:8" hidden="1" x14ac:dyDescent="0.25">
      <c r="A103" s="349">
        <f>'Трудозатраты членов ВТК'!$D550</f>
        <v>0</v>
      </c>
      <c r="B103" s="349" t="e">
        <f>'Трудозатраты членов ВТК'!$B550</f>
        <v>#N/A</v>
      </c>
      <c r="C103" s="349">
        <f>'Трудозатраты членов ВТК'!$C550</f>
        <v>0</v>
      </c>
      <c r="D103" s="435"/>
      <c r="E103" s="21"/>
      <c r="F103" s="21"/>
      <c r="G103" s="21"/>
      <c r="H103" s="21"/>
    </row>
    <row r="104" spans="1:8" hidden="1" x14ac:dyDescent="0.25">
      <c r="A104" s="349">
        <f>'Трудозатраты членов ВТК'!$D551</f>
        <v>0</v>
      </c>
      <c r="B104" s="349" t="e">
        <f>'Трудозатраты членов ВТК'!$B551</f>
        <v>#N/A</v>
      </c>
      <c r="C104" s="349">
        <f>'Трудозатраты членов ВТК'!$C551</f>
        <v>0</v>
      </c>
      <c r="D104" s="435"/>
      <c r="E104" s="21"/>
      <c r="F104" s="21"/>
      <c r="G104" s="21"/>
      <c r="H104" s="21"/>
    </row>
    <row r="105" spans="1:8" hidden="1" x14ac:dyDescent="0.25">
      <c r="A105" s="349">
        <f>'Трудозатраты членов ВТК'!$D552</f>
        <v>0</v>
      </c>
      <c r="B105" s="349" t="e">
        <f>'Трудозатраты членов ВТК'!$B552</f>
        <v>#N/A</v>
      </c>
      <c r="C105" s="349">
        <f>'Трудозатраты членов ВТК'!$C552</f>
        <v>0</v>
      </c>
      <c r="D105" s="435"/>
      <c r="E105" s="21"/>
      <c r="F105" s="21"/>
      <c r="G105" s="21"/>
      <c r="H105" s="21"/>
    </row>
    <row r="106" spans="1:8" hidden="1" x14ac:dyDescent="0.25">
      <c r="A106" s="349">
        <f>'Трудозатраты членов ВТК'!$D553</f>
        <v>0</v>
      </c>
      <c r="B106" s="349" t="e">
        <f>'Трудозатраты членов ВТК'!$B553</f>
        <v>#N/A</v>
      </c>
      <c r="C106" s="349">
        <f>'Трудозатраты членов ВТК'!$C553</f>
        <v>0</v>
      </c>
      <c r="D106" s="435"/>
      <c r="E106" s="21"/>
      <c r="F106" s="21"/>
      <c r="G106" s="21"/>
      <c r="H106" s="21"/>
    </row>
    <row r="107" spans="1:8" hidden="1" x14ac:dyDescent="0.25">
      <c r="A107" s="349">
        <f>'Трудозатраты членов ВТК'!$D554</f>
        <v>0</v>
      </c>
      <c r="B107" s="349" t="e">
        <f>'Трудозатраты членов ВТК'!$B554</f>
        <v>#N/A</v>
      </c>
      <c r="C107" s="349">
        <f>'Трудозатраты членов ВТК'!$C554</f>
        <v>0</v>
      </c>
      <c r="D107" s="435"/>
      <c r="E107" s="21"/>
      <c r="F107" s="21"/>
      <c r="G107" s="21"/>
      <c r="H107" s="21"/>
    </row>
    <row r="108" spans="1:8" hidden="1" x14ac:dyDescent="0.25">
      <c r="A108" s="349">
        <f>'Трудозатраты членов ВТК'!$D555</f>
        <v>0</v>
      </c>
      <c r="B108" s="349" t="e">
        <f>'Трудозатраты членов ВТК'!$B555</f>
        <v>#N/A</v>
      </c>
      <c r="C108" s="349">
        <f>'Трудозатраты членов ВТК'!$C555</f>
        <v>0</v>
      </c>
      <c r="D108" s="435"/>
      <c r="E108" s="21"/>
      <c r="F108" s="21"/>
      <c r="G108" s="21"/>
      <c r="H108" s="21"/>
    </row>
    <row r="109" spans="1:8" hidden="1" x14ac:dyDescent="0.25">
      <c r="A109" s="349">
        <f>'Трудозатраты членов ВТК'!$D556</f>
        <v>0</v>
      </c>
      <c r="B109" s="349" t="e">
        <f>'Трудозатраты членов ВТК'!$B556</f>
        <v>#N/A</v>
      </c>
      <c r="C109" s="349">
        <f>'Трудозатраты членов ВТК'!$C556</f>
        <v>0</v>
      </c>
      <c r="D109" s="435"/>
      <c r="E109" s="21"/>
      <c r="F109" s="21"/>
      <c r="G109" s="21"/>
      <c r="H109" s="21"/>
    </row>
    <row r="110" spans="1:8" hidden="1" x14ac:dyDescent="0.25">
      <c r="A110" s="349">
        <f>'Трудозатраты членов ВТК'!$D557</f>
        <v>0</v>
      </c>
      <c r="B110" s="349" t="e">
        <f>'Трудозатраты членов ВТК'!$B557</f>
        <v>#N/A</v>
      </c>
      <c r="C110" s="349">
        <f>'Трудозатраты членов ВТК'!$C557</f>
        <v>0</v>
      </c>
      <c r="D110" s="435"/>
      <c r="E110" s="21"/>
      <c r="F110" s="21"/>
      <c r="G110" s="21"/>
      <c r="H110" s="21"/>
    </row>
    <row r="111" spans="1:8" hidden="1" x14ac:dyDescent="0.25">
      <c r="A111" s="349">
        <f>'Трудозатраты членов ВТК'!$D558</f>
        <v>0</v>
      </c>
      <c r="B111" s="349" t="e">
        <f>'Трудозатраты членов ВТК'!$B558</f>
        <v>#N/A</v>
      </c>
      <c r="C111" s="349">
        <f>'Трудозатраты членов ВТК'!$C558</f>
        <v>0</v>
      </c>
      <c r="D111" s="435"/>
      <c r="E111" s="21"/>
      <c r="F111" s="21"/>
      <c r="G111" s="21"/>
      <c r="H111" s="21"/>
    </row>
    <row r="112" spans="1:8" hidden="1" x14ac:dyDescent="0.25">
      <c r="A112" s="349">
        <f>'Трудозатраты членов ВТК'!$D559</f>
        <v>0</v>
      </c>
      <c r="B112" s="349" t="e">
        <f>'Трудозатраты членов ВТК'!$B559</f>
        <v>#N/A</v>
      </c>
      <c r="C112" s="349">
        <f>'Трудозатраты членов ВТК'!$C559</f>
        <v>0</v>
      </c>
      <c r="D112" s="435"/>
      <c r="E112" s="21"/>
      <c r="F112" s="21"/>
      <c r="G112" s="21"/>
      <c r="H112" s="21"/>
    </row>
    <row r="113" spans="1:8" hidden="1" x14ac:dyDescent="0.25">
      <c r="A113" s="349">
        <f>'Трудозатраты членов ВТК'!$D560</f>
        <v>0</v>
      </c>
      <c r="B113" s="349" t="e">
        <f>'Трудозатраты членов ВТК'!$B560</f>
        <v>#N/A</v>
      </c>
      <c r="C113" s="349">
        <f>'Трудозатраты членов ВТК'!$C560</f>
        <v>0</v>
      </c>
      <c r="D113" s="435"/>
      <c r="E113" s="21"/>
      <c r="F113" s="21"/>
      <c r="G113" s="21"/>
      <c r="H113" s="21"/>
    </row>
    <row r="114" spans="1:8" hidden="1" x14ac:dyDescent="0.25">
      <c r="A114" s="349">
        <f>'Трудозатраты членов ВТК'!$D561</f>
        <v>0</v>
      </c>
      <c r="B114" s="349" t="e">
        <f>'Трудозатраты членов ВТК'!$B561</f>
        <v>#N/A</v>
      </c>
      <c r="C114" s="349">
        <f>'Трудозатраты членов ВТК'!$C561</f>
        <v>0</v>
      </c>
      <c r="D114" s="435"/>
      <c r="E114" s="21"/>
      <c r="F114" s="21"/>
      <c r="G114" s="21"/>
      <c r="H114" s="21"/>
    </row>
    <row r="115" spans="1:8" hidden="1" x14ac:dyDescent="0.25">
      <c r="A115" s="349">
        <f>'Трудозатраты членов ВТК'!$D562</f>
        <v>0</v>
      </c>
      <c r="B115" s="349" t="e">
        <f>'Трудозатраты членов ВТК'!$B562</f>
        <v>#N/A</v>
      </c>
      <c r="C115" s="349">
        <f>'Трудозатраты членов ВТК'!$C562</f>
        <v>0</v>
      </c>
      <c r="D115" s="435"/>
      <c r="E115" s="21"/>
      <c r="F115" s="21"/>
      <c r="G115" s="21"/>
      <c r="H115" s="21"/>
    </row>
    <row r="116" spans="1:8" hidden="1" x14ac:dyDescent="0.25">
      <c r="A116" s="349">
        <f>'Трудозатраты членов ВТК'!$D563</f>
        <v>0</v>
      </c>
      <c r="B116" s="349" t="e">
        <f>'Трудозатраты членов ВТК'!$B563</f>
        <v>#N/A</v>
      </c>
      <c r="C116" s="349">
        <f>'Трудозатраты членов ВТК'!$C563</f>
        <v>0</v>
      </c>
      <c r="D116" s="435"/>
      <c r="E116" s="21"/>
      <c r="F116" s="21"/>
      <c r="G116" s="21"/>
      <c r="H116" s="21"/>
    </row>
    <row r="117" spans="1:8" hidden="1" x14ac:dyDescent="0.25">
      <c r="A117" s="349">
        <f>'Трудозатраты членов ВТК'!$D564</f>
        <v>0</v>
      </c>
      <c r="B117" s="349" t="e">
        <f>'Трудозатраты членов ВТК'!$B564</f>
        <v>#N/A</v>
      </c>
      <c r="C117" s="349">
        <f>'Трудозатраты членов ВТК'!$C564</f>
        <v>0</v>
      </c>
      <c r="D117" s="435"/>
      <c r="E117" s="21"/>
      <c r="F117" s="21"/>
      <c r="G117" s="21"/>
      <c r="H117" s="21"/>
    </row>
    <row r="118" spans="1:8" hidden="1" x14ac:dyDescent="0.25">
      <c r="A118" s="349">
        <f>'Трудозатраты членов ВТК'!$D565</f>
        <v>0</v>
      </c>
      <c r="B118" s="349" t="e">
        <f>'Трудозатраты членов ВТК'!$B565</f>
        <v>#N/A</v>
      </c>
      <c r="C118" s="349">
        <f>'Трудозатраты членов ВТК'!$C565</f>
        <v>0</v>
      </c>
      <c r="D118" s="435"/>
      <c r="E118" s="21"/>
      <c r="F118" s="21"/>
      <c r="G118" s="21"/>
      <c r="H118" s="21"/>
    </row>
    <row r="119" spans="1:8" hidden="1" x14ac:dyDescent="0.25">
      <c r="A119" s="349">
        <f>'Трудозатраты членов ВТК'!$D566</f>
        <v>0</v>
      </c>
      <c r="B119" s="349" t="e">
        <f>'Трудозатраты членов ВТК'!$B566</f>
        <v>#N/A</v>
      </c>
      <c r="C119" s="349">
        <f>'Трудозатраты членов ВТК'!$C566</f>
        <v>0</v>
      </c>
      <c r="D119" s="435"/>
      <c r="E119" s="21"/>
      <c r="F119" s="21"/>
      <c r="G119" s="21"/>
      <c r="H119" s="21"/>
    </row>
    <row r="120" spans="1:8" hidden="1" x14ac:dyDescent="0.25">
      <c r="A120" s="349">
        <f>'Трудозатраты членов ВТК'!$D567</f>
        <v>0</v>
      </c>
      <c r="B120" s="349" t="e">
        <f>'Трудозатраты членов ВТК'!$B567</f>
        <v>#N/A</v>
      </c>
      <c r="C120" s="349">
        <f>'Трудозатраты членов ВТК'!$C567</f>
        <v>0</v>
      </c>
      <c r="D120" s="435"/>
      <c r="E120" s="21"/>
      <c r="F120" s="21"/>
      <c r="G120" s="21"/>
      <c r="H120" s="21"/>
    </row>
    <row r="121" spans="1:8" hidden="1" x14ac:dyDescent="0.25">
      <c r="A121" s="349">
        <f>'Трудозатраты членов ВТК'!$D568</f>
        <v>0</v>
      </c>
      <c r="B121" s="349" t="e">
        <f>'Трудозатраты членов ВТК'!$B568</f>
        <v>#N/A</v>
      </c>
      <c r="C121" s="349">
        <f>'Трудозатраты членов ВТК'!$C568</f>
        <v>0</v>
      </c>
      <c r="D121" s="435"/>
      <c r="E121" s="21"/>
      <c r="F121" s="21"/>
      <c r="G121" s="21"/>
      <c r="H121" s="21"/>
    </row>
    <row r="122" spans="1:8" hidden="1" x14ac:dyDescent="0.25">
      <c r="A122" s="349">
        <f>'Трудозатраты членов ВТК'!$D569</f>
        <v>0</v>
      </c>
      <c r="B122" s="349" t="e">
        <f>'Трудозатраты членов ВТК'!$B569</f>
        <v>#N/A</v>
      </c>
      <c r="C122" s="349">
        <f>'Трудозатраты членов ВТК'!$C569</f>
        <v>0</v>
      </c>
      <c r="D122" s="435"/>
      <c r="E122" s="21"/>
      <c r="F122" s="21"/>
      <c r="G122" s="21"/>
      <c r="H122" s="21"/>
    </row>
    <row r="123" spans="1:8" hidden="1" x14ac:dyDescent="0.25">
      <c r="A123" s="349">
        <f>'Трудозатраты членов ВТК'!$D570</f>
        <v>0</v>
      </c>
      <c r="B123" s="349" t="e">
        <f>'Трудозатраты членов ВТК'!$B570</f>
        <v>#N/A</v>
      </c>
      <c r="C123" s="349">
        <f>'Трудозатраты членов ВТК'!$C570</f>
        <v>0</v>
      </c>
      <c r="D123" s="435"/>
      <c r="E123" s="21"/>
      <c r="F123" s="21"/>
      <c r="G123" s="21"/>
      <c r="H123" s="21"/>
    </row>
    <row r="124" spans="1:8" hidden="1" x14ac:dyDescent="0.25">
      <c r="A124" s="349">
        <f>'Трудозатраты членов ВТК'!$D571</f>
        <v>0</v>
      </c>
      <c r="B124" s="349" t="e">
        <f>'Трудозатраты членов ВТК'!$B571</f>
        <v>#N/A</v>
      </c>
      <c r="C124" s="349">
        <f>'Трудозатраты членов ВТК'!$C571</f>
        <v>0</v>
      </c>
      <c r="D124" s="435"/>
      <c r="E124" s="21"/>
      <c r="F124" s="21"/>
      <c r="G124" s="21"/>
      <c r="H124" s="21"/>
    </row>
    <row r="125" spans="1:8" hidden="1" x14ac:dyDescent="0.25">
      <c r="A125" s="349">
        <f>'Трудозатраты членов ВТК'!$D572</f>
        <v>0</v>
      </c>
      <c r="B125" s="349" t="e">
        <f>'Трудозатраты членов ВТК'!$B572</f>
        <v>#N/A</v>
      </c>
      <c r="C125" s="349">
        <f>'Трудозатраты членов ВТК'!$C572</f>
        <v>0</v>
      </c>
      <c r="D125" s="435"/>
      <c r="E125" s="21"/>
      <c r="F125" s="21"/>
      <c r="G125" s="21"/>
      <c r="H125" s="21"/>
    </row>
    <row r="126" spans="1:8" hidden="1" x14ac:dyDescent="0.25">
      <c r="A126" s="349">
        <f>'Трудозатраты членов ВТК'!$D573</f>
        <v>0</v>
      </c>
      <c r="B126" s="349" t="e">
        <f>'Трудозатраты членов ВТК'!$B573</f>
        <v>#N/A</v>
      </c>
      <c r="C126" s="349">
        <f>'Трудозатраты членов ВТК'!$C573</f>
        <v>0</v>
      </c>
      <c r="D126" s="435"/>
      <c r="E126" s="21"/>
      <c r="F126" s="21"/>
      <c r="G126" s="21"/>
      <c r="H126" s="21"/>
    </row>
    <row r="127" spans="1:8" hidden="1" x14ac:dyDescent="0.25">
      <c r="A127" s="349">
        <f>'Трудозатраты членов ВТК'!$D574</f>
        <v>0</v>
      </c>
      <c r="B127" s="349" t="e">
        <f>'Трудозатраты членов ВТК'!$B574</f>
        <v>#N/A</v>
      </c>
      <c r="C127" s="349">
        <f>'Трудозатраты членов ВТК'!$C574</f>
        <v>0</v>
      </c>
      <c r="D127" s="435"/>
      <c r="E127" s="21"/>
      <c r="F127" s="21"/>
      <c r="G127" s="21"/>
      <c r="H127" s="21"/>
    </row>
    <row r="128" spans="1:8" hidden="1" x14ac:dyDescent="0.25">
      <c r="A128" s="349">
        <f>'Трудозатраты членов ВТК'!$D575</f>
        <v>0</v>
      </c>
      <c r="B128" s="349" t="e">
        <f>'Трудозатраты членов ВТК'!$B575</f>
        <v>#N/A</v>
      </c>
      <c r="C128" s="349">
        <f>'Трудозатраты членов ВТК'!$C575</f>
        <v>0</v>
      </c>
      <c r="D128" s="435"/>
      <c r="E128" s="21"/>
      <c r="F128" s="21"/>
      <c r="G128" s="21"/>
      <c r="H128" s="21"/>
    </row>
    <row r="129" spans="1:8" hidden="1" x14ac:dyDescent="0.25">
      <c r="A129" s="349">
        <f>'Трудозатраты членов ВТК'!$D576</f>
        <v>0</v>
      </c>
      <c r="B129" s="349" t="e">
        <f>'Трудозатраты членов ВТК'!$B576</f>
        <v>#N/A</v>
      </c>
      <c r="C129" s="349">
        <f>'Трудозатраты членов ВТК'!$C576</f>
        <v>0</v>
      </c>
      <c r="D129" s="435"/>
      <c r="E129" s="21"/>
      <c r="F129" s="21"/>
      <c r="G129" s="21"/>
      <c r="H129" s="21"/>
    </row>
    <row r="130" spans="1:8" hidden="1" x14ac:dyDescent="0.25">
      <c r="A130" s="349">
        <f>'Трудозатраты членов ВТК'!$D577</f>
        <v>0</v>
      </c>
      <c r="B130" s="349" t="e">
        <f>'Трудозатраты членов ВТК'!$B577</f>
        <v>#N/A</v>
      </c>
      <c r="C130" s="349">
        <f>'Трудозатраты членов ВТК'!$C577</f>
        <v>0</v>
      </c>
      <c r="D130" s="435"/>
      <c r="E130" s="21"/>
      <c r="F130" s="21"/>
      <c r="G130" s="21"/>
      <c r="H130" s="21"/>
    </row>
    <row r="131" spans="1:8" hidden="1" x14ac:dyDescent="0.25">
      <c r="A131" s="349">
        <f>'Трудозатраты членов ВТК'!$D578</f>
        <v>0</v>
      </c>
      <c r="B131" s="349" t="e">
        <f>'Трудозатраты членов ВТК'!$B578</f>
        <v>#N/A</v>
      </c>
      <c r="C131" s="349">
        <f>'Трудозатраты членов ВТК'!$C578</f>
        <v>0</v>
      </c>
      <c r="D131" s="435"/>
      <c r="E131" s="21"/>
      <c r="F131" s="21"/>
      <c r="G131" s="21"/>
      <c r="H131" s="21"/>
    </row>
    <row r="132" spans="1:8" hidden="1" x14ac:dyDescent="0.25">
      <c r="A132" s="349">
        <f>'Трудозатраты членов ВТК'!$D579</f>
        <v>0</v>
      </c>
      <c r="B132" s="349" t="e">
        <f>'Трудозатраты членов ВТК'!$B579</f>
        <v>#N/A</v>
      </c>
      <c r="C132" s="349">
        <f>'Трудозатраты членов ВТК'!$C579</f>
        <v>0</v>
      </c>
      <c r="D132" s="435"/>
      <c r="E132" s="21"/>
      <c r="F132" s="21"/>
      <c r="G132" s="21"/>
      <c r="H132" s="21"/>
    </row>
    <row r="133" spans="1:8" hidden="1" x14ac:dyDescent="0.25">
      <c r="A133" s="349">
        <f>'Трудозатраты членов ВТК'!$D580</f>
        <v>0</v>
      </c>
      <c r="B133" s="349" t="e">
        <f>'Трудозатраты членов ВТК'!$B580</f>
        <v>#N/A</v>
      </c>
      <c r="C133" s="349">
        <f>'Трудозатраты членов ВТК'!$C580</f>
        <v>0</v>
      </c>
      <c r="D133" s="435"/>
      <c r="E133" s="21"/>
      <c r="F133" s="21"/>
      <c r="G133" s="21"/>
      <c r="H133" s="21"/>
    </row>
    <row r="134" spans="1:8" hidden="1" x14ac:dyDescent="0.25">
      <c r="A134" s="349">
        <f>'Трудозатраты членов ВТК'!$D581</f>
        <v>0</v>
      </c>
      <c r="B134" s="349" t="e">
        <f>'Трудозатраты членов ВТК'!$B581</f>
        <v>#N/A</v>
      </c>
      <c r="C134" s="349">
        <f>'Трудозатраты членов ВТК'!$C581</f>
        <v>0</v>
      </c>
      <c r="D134" s="435"/>
      <c r="E134" s="21"/>
      <c r="F134" s="21"/>
      <c r="G134" s="21"/>
      <c r="H134" s="21"/>
    </row>
    <row r="135" spans="1:8" hidden="1" x14ac:dyDescent="0.25">
      <c r="A135" s="349">
        <f>'Трудозатраты членов ВТК'!$D582</f>
        <v>0</v>
      </c>
      <c r="B135" s="349" t="e">
        <f>'Трудозатраты членов ВТК'!$B582</f>
        <v>#N/A</v>
      </c>
      <c r="C135" s="349">
        <f>'Трудозатраты членов ВТК'!$C582</f>
        <v>0</v>
      </c>
      <c r="D135" s="435"/>
      <c r="E135" s="21"/>
      <c r="F135" s="21"/>
      <c r="G135" s="21"/>
      <c r="H135" s="21"/>
    </row>
    <row r="136" spans="1:8" hidden="1" x14ac:dyDescent="0.25">
      <c r="A136" s="349">
        <f>'Трудозатраты членов ВТК'!$D583</f>
        <v>0</v>
      </c>
      <c r="B136" s="349" t="e">
        <f>'Трудозатраты членов ВТК'!$B583</f>
        <v>#N/A</v>
      </c>
      <c r="C136" s="349">
        <f>'Трудозатраты членов ВТК'!$C583</f>
        <v>0</v>
      </c>
      <c r="D136" s="435"/>
      <c r="E136" s="21"/>
      <c r="F136" s="21"/>
      <c r="G136" s="21"/>
      <c r="H136" s="21"/>
    </row>
    <row r="137" spans="1:8" hidden="1" x14ac:dyDescent="0.25">
      <c r="A137" s="349">
        <f>'Трудозатраты членов ВТК'!$D584</f>
        <v>0</v>
      </c>
      <c r="B137" s="349" t="e">
        <f>'Трудозатраты членов ВТК'!$B584</f>
        <v>#N/A</v>
      </c>
      <c r="C137" s="349">
        <f>'Трудозатраты членов ВТК'!$C584</f>
        <v>0</v>
      </c>
      <c r="D137" s="435"/>
      <c r="E137" s="21"/>
      <c r="F137" s="21"/>
      <c r="G137" s="21"/>
      <c r="H137" s="21"/>
    </row>
    <row r="138" spans="1:8" hidden="1" x14ac:dyDescent="0.25">
      <c r="A138" s="349">
        <f>'Трудозатраты членов ВТК'!$D585</f>
        <v>0</v>
      </c>
      <c r="B138" s="349" t="e">
        <f>'Трудозатраты членов ВТК'!$B585</f>
        <v>#N/A</v>
      </c>
      <c r="C138" s="349">
        <f>'Трудозатраты членов ВТК'!$C585</f>
        <v>0</v>
      </c>
      <c r="D138" s="435"/>
      <c r="E138" s="21"/>
      <c r="F138" s="21"/>
      <c r="G138" s="21"/>
      <c r="H138" s="21"/>
    </row>
    <row r="139" spans="1:8" hidden="1" x14ac:dyDescent="0.25">
      <c r="A139" s="349">
        <f>'Трудозатраты членов ВТК'!$D586</f>
        <v>0</v>
      </c>
      <c r="B139" s="349" t="e">
        <f>'Трудозатраты членов ВТК'!$B586</f>
        <v>#N/A</v>
      </c>
      <c r="C139" s="349">
        <f>'Трудозатраты членов ВТК'!$C586</f>
        <v>0</v>
      </c>
      <c r="D139" s="435"/>
      <c r="E139" s="21"/>
      <c r="F139" s="21"/>
      <c r="G139" s="21"/>
      <c r="H139" s="21"/>
    </row>
    <row r="140" spans="1:8" hidden="1" x14ac:dyDescent="0.25">
      <c r="A140" s="349">
        <f>'Трудозатраты членов ВТК'!$D587</f>
        <v>0</v>
      </c>
      <c r="B140" s="349" t="e">
        <f>'Трудозатраты членов ВТК'!$B587</f>
        <v>#N/A</v>
      </c>
      <c r="C140" s="349">
        <f>'Трудозатраты членов ВТК'!$C587</f>
        <v>0</v>
      </c>
      <c r="D140" s="435"/>
      <c r="E140" s="21"/>
      <c r="F140" s="21"/>
      <c r="G140" s="21"/>
      <c r="H140" s="21"/>
    </row>
    <row r="141" spans="1:8" hidden="1" x14ac:dyDescent="0.25">
      <c r="A141" s="349">
        <f>'Трудозатраты членов ВТК'!$D588</f>
        <v>0</v>
      </c>
      <c r="B141" s="349" t="e">
        <f>'Трудозатраты членов ВТК'!$B588</f>
        <v>#N/A</v>
      </c>
      <c r="C141" s="349">
        <f>'Трудозатраты членов ВТК'!$C588</f>
        <v>0</v>
      </c>
      <c r="D141" s="435"/>
      <c r="E141" s="21"/>
      <c r="F141" s="21"/>
      <c r="G141" s="21"/>
      <c r="H141" s="21"/>
    </row>
    <row r="142" spans="1:8" hidden="1" x14ac:dyDescent="0.25">
      <c r="A142" s="349">
        <f>'Трудозатраты членов ВТК'!$D589</f>
        <v>0</v>
      </c>
      <c r="B142" s="349" t="e">
        <f>'Трудозатраты членов ВТК'!$B589</f>
        <v>#N/A</v>
      </c>
      <c r="C142" s="349">
        <f>'Трудозатраты членов ВТК'!$C589</f>
        <v>0</v>
      </c>
      <c r="D142" s="435"/>
      <c r="E142" s="21"/>
      <c r="F142" s="21"/>
      <c r="G142" s="21"/>
      <c r="H142" s="21"/>
    </row>
    <row r="143" spans="1:8" hidden="1" x14ac:dyDescent="0.25">
      <c r="A143" s="349">
        <f>'Трудозатраты членов ВТК'!$D590</f>
        <v>0</v>
      </c>
      <c r="B143" s="349" t="e">
        <f>'Трудозатраты членов ВТК'!$B590</f>
        <v>#N/A</v>
      </c>
      <c r="C143" s="349">
        <f>'Трудозатраты членов ВТК'!$C590</f>
        <v>0</v>
      </c>
      <c r="D143" s="435"/>
      <c r="E143" s="21"/>
      <c r="F143" s="21"/>
      <c r="G143" s="21"/>
      <c r="H143" s="21"/>
    </row>
    <row r="144" spans="1:8" hidden="1" x14ac:dyDescent="0.25">
      <c r="A144" s="349">
        <f>'Трудозатраты членов ВТК'!$D591</f>
        <v>0</v>
      </c>
      <c r="B144" s="349" t="e">
        <f>'Трудозатраты членов ВТК'!$B591</f>
        <v>#N/A</v>
      </c>
      <c r="C144" s="349">
        <f>'Трудозатраты членов ВТК'!$C591</f>
        <v>0</v>
      </c>
      <c r="D144" s="435"/>
      <c r="E144" s="21"/>
      <c r="F144" s="21"/>
      <c r="G144" s="21"/>
      <c r="H144" s="21"/>
    </row>
    <row r="145" spans="1:8" hidden="1" x14ac:dyDescent="0.25">
      <c r="A145" s="349">
        <f>'Трудозатраты членов ВТК'!$D592</f>
        <v>0</v>
      </c>
      <c r="B145" s="349" t="e">
        <f>'Трудозатраты членов ВТК'!$B592</f>
        <v>#N/A</v>
      </c>
      <c r="C145" s="349">
        <f>'Трудозатраты членов ВТК'!$C592</f>
        <v>0</v>
      </c>
      <c r="D145" s="435"/>
      <c r="E145" s="21"/>
      <c r="F145" s="21"/>
      <c r="G145" s="21"/>
      <c r="H145" s="21"/>
    </row>
    <row r="146" spans="1:8" hidden="1" x14ac:dyDescent="0.25">
      <c r="A146" s="349">
        <f>'Трудозатраты членов ВТК'!$D593</f>
        <v>0</v>
      </c>
      <c r="B146" s="349" t="e">
        <f>'Трудозатраты членов ВТК'!$B593</f>
        <v>#N/A</v>
      </c>
      <c r="C146" s="349">
        <f>'Трудозатраты членов ВТК'!$C593</f>
        <v>0</v>
      </c>
      <c r="D146" s="435"/>
      <c r="E146" s="21"/>
      <c r="F146" s="21"/>
      <c r="G146" s="21"/>
      <c r="H146" s="21"/>
    </row>
    <row r="147" spans="1:8" hidden="1" x14ac:dyDescent="0.25">
      <c r="A147" s="349">
        <f>'Трудозатраты членов ВТК'!$D594</f>
        <v>0</v>
      </c>
      <c r="B147" s="349" t="e">
        <f>'Трудозатраты членов ВТК'!$B594</f>
        <v>#N/A</v>
      </c>
      <c r="C147" s="349">
        <f>'Трудозатраты членов ВТК'!$C594</f>
        <v>0</v>
      </c>
      <c r="D147" s="435"/>
      <c r="E147" s="21"/>
      <c r="F147" s="21"/>
      <c r="G147" s="21"/>
      <c r="H147" s="21"/>
    </row>
    <row r="148" spans="1:8" hidden="1" x14ac:dyDescent="0.25">
      <c r="A148" s="349">
        <f>'Трудозатраты членов ВТК'!$D595</f>
        <v>0</v>
      </c>
      <c r="B148" s="349" t="e">
        <f>'Трудозатраты членов ВТК'!$B595</f>
        <v>#N/A</v>
      </c>
      <c r="C148" s="349">
        <f>'Трудозатраты членов ВТК'!$C595</f>
        <v>0</v>
      </c>
      <c r="D148" s="435"/>
      <c r="E148" s="21"/>
      <c r="F148" s="21"/>
      <c r="G148" s="21"/>
      <c r="H148" s="21"/>
    </row>
    <row r="149" spans="1:8" hidden="1" x14ac:dyDescent="0.25">
      <c r="A149" s="349">
        <f>'Трудозатраты членов ВТК'!$D596</f>
        <v>0</v>
      </c>
      <c r="B149" s="349" t="e">
        <f>'Трудозатраты членов ВТК'!$B596</f>
        <v>#N/A</v>
      </c>
      <c r="C149" s="349">
        <f>'Трудозатраты членов ВТК'!$C596</f>
        <v>0</v>
      </c>
      <c r="D149" s="435"/>
      <c r="E149" s="21"/>
      <c r="F149" s="21"/>
      <c r="G149" s="21"/>
      <c r="H149" s="21"/>
    </row>
    <row r="150" spans="1:8" hidden="1" x14ac:dyDescent="0.25">
      <c r="A150" s="349">
        <f>'Трудозатраты членов ВТК'!$D597</f>
        <v>0</v>
      </c>
      <c r="B150" s="349" t="e">
        <f>'Трудозатраты членов ВТК'!$B597</f>
        <v>#N/A</v>
      </c>
      <c r="C150" s="349">
        <f>'Трудозатраты членов ВТК'!$C597</f>
        <v>0</v>
      </c>
      <c r="D150" s="435"/>
      <c r="E150" s="21"/>
      <c r="F150" s="21"/>
      <c r="G150" s="21"/>
      <c r="H150" s="21"/>
    </row>
    <row r="151" spans="1:8" hidden="1" x14ac:dyDescent="0.25">
      <c r="A151" s="349">
        <f>'Трудозатраты членов ВТК'!$D598</f>
        <v>0</v>
      </c>
      <c r="B151" s="349" t="e">
        <f>'Трудозатраты членов ВТК'!$B598</f>
        <v>#N/A</v>
      </c>
      <c r="C151" s="349">
        <f>'Трудозатраты членов ВТК'!$C598</f>
        <v>0</v>
      </c>
      <c r="D151" s="435"/>
      <c r="E151" s="21"/>
      <c r="F151" s="21"/>
      <c r="G151" s="21"/>
      <c r="H151" s="21"/>
    </row>
    <row r="152" spans="1:8" hidden="1" x14ac:dyDescent="0.25">
      <c r="A152" s="349">
        <f>'Трудозатраты членов ВТК'!$D599</f>
        <v>0</v>
      </c>
      <c r="B152" s="349" t="e">
        <f>'Трудозатраты членов ВТК'!$B599</f>
        <v>#N/A</v>
      </c>
      <c r="C152" s="349">
        <f>'Трудозатраты членов ВТК'!$C599</f>
        <v>0</v>
      </c>
      <c r="D152" s="435"/>
      <c r="E152" s="21"/>
      <c r="F152" s="21"/>
      <c r="G152" s="21"/>
      <c r="H152" s="21"/>
    </row>
    <row r="153" spans="1:8" hidden="1" x14ac:dyDescent="0.25">
      <c r="A153" s="349">
        <f>'Трудозатраты членов ВТК'!$D600</f>
        <v>0</v>
      </c>
      <c r="B153" s="349" t="e">
        <f>'Трудозатраты членов ВТК'!$B600</f>
        <v>#N/A</v>
      </c>
      <c r="C153" s="349">
        <f>'Трудозатраты членов ВТК'!$C600</f>
        <v>0</v>
      </c>
      <c r="D153" s="435"/>
      <c r="E153" s="21"/>
      <c r="F153" s="21"/>
      <c r="G153" s="21"/>
      <c r="H153" s="21"/>
    </row>
    <row r="154" spans="1:8" hidden="1" x14ac:dyDescent="0.25">
      <c r="A154" s="349">
        <f>'Трудозатраты членов ВТК'!$D601</f>
        <v>0</v>
      </c>
      <c r="B154" s="349" t="e">
        <f>'Трудозатраты членов ВТК'!$B601</f>
        <v>#N/A</v>
      </c>
      <c r="C154" s="349">
        <f>'Трудозатраты членов ВТК'!$C601</f>
        <v>0</v>
      </c>
      <c r="D154" s="435"/>
      <c r="E154" s="21"/>
      <c r="F154" s="21"/>
      <c r="G154" s="21"/>
      <c r="H154" s="21"/>
    </row>
    <row r="155" spans="1:8" hidden="1" x14ac:dyDescent="0.25">
      <c r="A155" s="349">
        <f>'Трудозатраты членов ВТК'!$D602</f>
        <v>0</v>
      </c>
      <c r="B155" s="349" t="e">
        <f>'Трудозатраты членов ВТК'!$B602</f>
        <v>#N/A</v>
      </c>
      <c r="C155" s="349">
        <f>'Трудозатраты членов ВТК'!$C602</f>
        <v>0</v>
      </c>
      <c r="D155" s="435"/>
      <c r="E155" s="21"/>
      <c r="F155" s="21"/>
      <c r="G155" s="21"/>
      <c r="H155" s="21"/>
    </row>
    <row r="156" spans="1:8" hidden="1" x14ac:dyDescent="0.25">
      <c r="A156" s="349">
        <f>'Трудозатраты членов ВТК'!$D603</f>
        <v>0</v>
      </c>
      <c r="B156" s="349" t="e">
        <f>'Трудозатраты членов ВТК'!$B603</f>
        <v>#N/A</v>
      </c>
      <c r="C156" s="349">
        <f>'Трудозатраты членов ВТК'!$C603</f>
        <v>0</v>
      </c>
      <c r="D156" s="435"/>
      <c r="E156" s="21"/>
      <c r="F156" s="21"/>
      <c r="G156" s="21"/>
      <c r="H156" s="21"/>
    </row>
    <row r="157" spans="1:8" hidden="1" x14ac:dyDescent="0.25">
      <c r="A157" s="349">
        <f>'Трудозатраты членов ВТК'!$D604</f>
        <v>0</v>
      </c>
      <c r="B157" s="349" t="e">
        <f>'Трудозатраты членов ВТК'!$B604</f>
        <v>#N/A</v>
      </c>
      <c r="C157" s="349">
        <f>'Трудозатраты членов ВТК'!$C604</f>
        <v>0</v>
      </c>
      <c r="D157" s="435"/>
      <c r="E157" s="21"/>
      <c r="F157" s="21"/>
      <c r="G157" s="21"/>
      <c r="H157" s="21"/>
    </row>
    <row r="158" spans="1:8" hidden="1" x14ac:dyDescent="0.25">
      <c r="A158" s="349">
        <f>'Трудозатраты членов ВТК'!$D605</f>
        <v>0</v>
      </c>
      <c r="B158" s="349" t="e">
        <f>'Трудозатраты членов ВТК'!$B605</f>
        <v>#N/A</v>
      </c>
      <c r="C158" s="349">
        <f>'Трудозатраты членов ВТК'!$C605</f>
        <v>0</v>
      </c>
      <c r="D158" s="435"/>
      <c r="E158" s="21"/>
      <c r="F158" s="21"/>
      <c r="G158" s="21"/>
      <c r="H158" s="21"/>
    </row>
    <row r="159" spans="1:8" hidden="1" x14ac:dyDescent="0.25">
      <c r="A159" s="349">
        <f>'Трудозатраты членов ВТК'!$D606</f>
        <v>0</v>
      </c>
      <c r="B159" s="349" t="e">
        <f>'Трудозатраты членов ВТК'!$B606</f>
        <v>#N/A</v>
      </c>
      <c r="C159" s="349">
        <f>'Трудозатраты членов ВТК'!$C606</f>
        <v>0</v>
      </c>
      <c r="D159" s="435"/>
      <c r="E159" s="21"/>
      <c r="F159" s="21"/>
      <c r="G159" s="21"/>
      <c r="H159" s="21"/>
    </row>
    <row r="160" spans="1:8" hidden="1" x14ac:dyDescent="0.25">
      <c r="A160" s="349">
        <f>'Трудозатраты членов ВТК'!$D607</f>
        <v>0</v>
      </c>
      <c r="B160" s="349" t="e">
        <f>'Трудозатраты членов ВТК'!$B607</f>
        <v>#N/A</v>
      </c>
      <c r="C160" s="349">
        <f>'Трудозатраты членов ВТК'!$C607</f>
        <v>0</v>
      </c>
      <c r="D160" s="435"/>
      <c r="E160" s="21"/>
      <c r="F160" s="21"/>
      <c r="G160" s="21"/>
      <c r="H160" s="21"/>
    </row>
    <row r="161" spans="1:8" hidden="1" x14ac:dyDescent="0.25">
      <c r="A161" s="349">
        <f>'Трудозатраты членов ВТК'!$D608</f>
        <v>0</v>
      </c>
      <c r="B161" s="349" t="e">
        <f>'Трудозатраты членов ВТК'!$B608</f>
        <v>#N/A</v>
      </c>
      <c r="C161" s="349">
        <f>'Трудозатраты членов ВТК'!$C608</f>
        <v>0</v>
      </c>
      <c r="D161" s="435"/>
      <c r="E161" s="21"/>
      <c r="F161" s="21"/>
      <c r="G161" s="21"/>
      <c r="H161" s="21"/>
    </row>
    <row r="162" spans="1:8" hidden="1" x14ac:dyDescent="0.25">
      <c r="A162" s="349">
        <f>'Трудозатраты членов ВТК'!$D609</f>
        <v>0</v>
      </c>
      <c r="B162" s="349" t="e">
        <f>'Трудозатраты членов ВТК'!$B609</f>
        <v>#N/A</v>
      </c>
      <c r="C162" s="349">
        <f>'Трудозатраты членов ВТК'!$C609</f>
        <v>0</v>
      </c>
      <c r="D162" s="435"/>
      <c r="E162" s="21"/>
      <c r="F162" s="21"/>
      <c r="G162" s="21"/>
      <c r="H162" s="21"/>
    </row>
    <row r="163" spans="1:8" hidden="1" x14ac:dyDescent="0.25">
      <c r="A163" s="349">
        <f>'Трудозатраты членов ВТК'!$D610</f>
        <v>0</v>
      </c>
      <c r="B163" s="349" t="e">
        <f>'Трудозатраты членов ВТК'!$B610</f>
        <v>#N/A</v>
      </c>
      <c r="C163" s="349">
        <f>'Трудозатраты членов ВТК'!$C610</f>
        <v>0</v>
      </c>
      <c r="D163" s="435"/>
      <c r="E163" s="21"/>
      <c r="F163" s="21"/>
      <c r="G163" s="21"/>
      <c r="H163" s="21"/>
    </row>
    <row r="164" spans="1:8" hidden="1" x14ac:dyDescent="0.25">
      <c r="A164" s="349">
        <f>'Трудозатраты членов ВТК'!$D611</f>
        <v>0</v>
      </c>
      <c r="B164" s="349" t="e">
        <f>'Трудозатраты членов ВТК'!$B611</f>
        <v>#N/A</v>
      </c>
      <c r="C164" s="349">
        <f>'Трудозатраты членов ВТК'!$C611</f>
        <v>0</v>
      </c>
      <c r="D164" s="435"/>
      <c r="E164" s="21"/>
      <c r="F164" s="21"/>
      <c r="G164" s="21"/>
      <c r="H164" s="21"/>
    </row>
    <row r="165" spans="1:8" hidden="1" x14ac:dyDescent="0.25">
      <c r="A165" s="349">
        <f>'Трудозатраты членов ВТК'!$D612</f>
        <v>0</v>
      </c>
      <c r="B165" s="349" t="e">
        <f>'Трудозатраты членов ВТК'!$B612</f>
        <v>#N/A</v>
      </c>
      <c r="C165" s="349">
        <f>'Трудозатраты членов ВТК'!$C612</f>
        <v>0</v>
      </c>
      <c r="D165" s="435"/>
      <c r="E165" s="21"/>
      <c r="F165" s="21"/>
      <c r="G165" s="21"/>
      <c r="H165" s="21"/>
    </row>
    <row r="166" spans="1:8" hidden="1" x14ac:dyDescent="0.25">
      <c r="A166" s="349">
        <f>'Трудозатраты членов ВТК'!$D613</f>
        <v>0</v>
      </c>
      <c r="B166" s="349" t="e">
        <f>'Трудозатраты членов ВТК'!$B613</f>
        <v>#N/A</v>
      </c>
      <c r="C166" s="349">
        <f>'Трудозатраты членов ВТК'!$C613</f>
        <v>0</v>
      </c>
      <c r="D166" s="435"/>
      <c r="E166" s="21"/>
      <c r="F166" s="21"/>
      <c r="G166" s="21"/>
      <c r="H166" s="21"/>
    </row>
    <row r="167" spans="1:8" hidden="1" x14ac:dyDescent="0.25">
      <c r="A167" s="349">
        <f>'Трудозатраты членов ВТК'!$D614</f>
        <v>0</v>
      </c>
      <c r="B167" s="349" t="e">
        <f>'Трудозатраты членов ВТК'!$B614</f>
        <v>#N/A</v>
      </c>
      <c r="C167" s="349">
        <f>'Трудозатраты членов ВТК'!$C614</f>
        <v>0</v>
      </c>
      <c r="D167" s="435"/>
      <c r="E167" s="21"/>
      <c r="F167" s="21"/>
      <c r="G167" s="21"/>
      <c r="H167" s="21"/>
    </row>
    <row r="168" spans="1:8" hidden="1" x14ac:dyDescent="0.25">
      <c r="A168" s="349">
        <f>'Трудозатраты членов ВТК'!$D615</f>
        <v>0</v>
      </c>
      <c r="B168" s="349" t="e">
        <f>'Трудозатраты членов ВТК'!$B615</f>
        <v>#N/A</v>
      </c>
      <c r="C168" s="349">
        <f>'Трудозатраты членов ВТК'!$C615</f>
        <v>0</v>
      </c>
      <c r="D168" s="435"/>
      <c r="E168" s="21"/>
      <c r="F168" s="21"/>
      <c r="G168" s="21"/>
      <c r="H168" s="21"/>
    </row>
    <row r="169" spans="1:8" hidden="1" x14ac:dyDescent="0.25">
      <c r="A169" s="349">
        <f>'Трудозатраты членов ВТК'!$D616</f>
        <v>0</v>
      </c>
      <c r="B169" s="349" t="e">
        <f>'Трудозатраты членов ВТК'!$B616</f>
        <v>#N/A</v>
      </c>
      <c r="C169" s="349">
        <f>'Трудозатраты членов ВТК'!$C616</f>
        <v>0</v>
      </c>
      <c r="D169" s="435"/>
      <c r="E169" s="21"/>
      <c r="F169" s="21"/>
      <c r="G169" s="21"/>
      <c r="H169" s="21"/>
    </row>
    <row r="170" spans="1:8" hidden="1" x14ac:dyDescent="0.25">
      <c r="A170" s="349">
        <f>'Трудозатраты членов ВТК'!$D617</f>
        <v>0</v>
      </c>
      <c r="B170" s="349" t="e">
        <f>'Трудозатраты членов ВТК'!$B617</f>
        <v>#N/A</v>
      </c>
      <c r="C170" s="349">
        <f>'Трудозатраты членов ВТК'!$C617</f>
        <v>0</v>
      </c>
      <c r="D170" s="435"/>
      <c r="E170" s="21"/>
      <c r="F170" s="21"/>
      <c r="G170" s="21"/>
      <c r="H170" s="21"/>
    </row>
    <row r="171" spans="1:8" hidden="1" x14ac:dyDescent="0.25">
      <c r="A171" s="349">
        <f>'Трудозатраты членов ВТК'!$D618</f>
        <v>0</v>
      </c>
      <c r="B171" s="349" t="e">
        <f>'Трудозатраты членов ВТК'!$B618</f>
        <v>#N/A</v>
      </c>
      <c r="C171" s="349">
        <f>'Трудозатраты членов ВТК'!$C618</f>
        <v>0</v>
      </c>
      <c r="D171" s="435"/>
      <c r="E171" s="21"/>
      <c r="F171" s="21"/>
      <c r="G171" s="21"/>
      <c r="H171" s="21"/>
    </row>
    <row r="172" spans="1:8" hidden="1" x14ac:dyDescent="0.25">
      <c r="A172" s="349">
        <f>'Трудозатраты членов ВТК'!$D619</f>
        <v>0</v>
      </c>
      <c r="B172" s="349" t="e">
        <f>'Трудозатраты членов ВТК'!$B619</f>
        <v>#N/A</v>
      </c>
      <c r="C172" s="349">
        <f>'Трудозатраты членов ВТК'!$C619</f>
        <v>0</v>
      </c>
      <c r="D172" s="435"/>
      <c r="E172" s="21"/>
      <c r="F172" s="21"/>
      <c r="G172" s="21"/>
      <c r="H172" s="21"/>
    </row>
    <row r="173" spans="1:8" hidden="1" x14ac:dyDescent="0.25">
      <c r="A173" s="349">
        <f>'Трудозатраты членов ВТК'!$D620</f>
        <v>0</v>
      </c>
      <c r="B173" s="349" t="e">
        <f>'Трудозатраты членов ВТК'!$B620</f>
        <v>#N/A</v>
      </c>
      <c r="C173" s="349">
        <f>'Трудозатраты членов ВТК'!$C620</f>
        <v>0</v>
      </c>
      <c r="D173" s="435"/>
      <c r="E173" s="21"/>
      <c r="F173" s="21"/>
      <c r="G173" s="21"/>
      <c r="H173" s="21"/>
    </row>
    <row r="174" spans="1:8" hidden="1" x14ac:dyDescent="0.25">
      <c r="A174" s="349">
        <f>'Трудозатраты членов ВТК'!$D621</f>
        <v>0</v>
      </c>
      <c r="B174" s="349" t="e">
        <f>'Трудозатраты членов ВТК'!$B621</f>
        <v>#N/A</v>
      </c>
      <c r="C174" s="349">
        <f>'Трудозатраты членов ВТК'!$C621</f>
        <v>0</v>
      </c>
      <c r="D174" s="435"/>
      <c r="E174" s="21"/>
      <c r="F174" s="21"/>
      <c r="G174" s="21"/>
      <c r="H174" s="21"/>
    </row>
    <row r="175" spans="1:8" hidden="1" x14ac:dyDescent="0.25">
      <c r="A175" s="349">
        <f>'Трудозатраты членов ВТК'!$D622</f>
        <v>0</v>
      </c>
      <c r="B175" s="349" t="e">
        <f>'Трудозатраты членов ВТК'!$B622</f>
        <v>#N/A</v>
      </c>
      <c r="C175" s="349">
        <f>'Трудозатраты членов ВТК'!$C622</f>
        <v>0</v>
      </c>
      <c r="D175" s="435"/>
      <c r="E175" s="21"/>
      <c r="F175" s="21"/>
      <c r="G175" s="21"/>
      <c r="H175" s="21"/>
    </row>
    <row r="176" spans="1:8" hidden="1" x14ac:dyDescent="0.25">
      <c r="A176" s="349">
        <f>'Трудозатраты членов ВТК'!$D623</f>
        <v>0</v>
      </c>
      <c r="B176" s="349" t="e">
        <f>'Трудозатраты членов ВТК'!$B623</f>
        <v>#N/A</v>
      </c>
      <c r="C176" s="349">
        <f>'Трудозатраты членов ВТК'!$C623</f>
        <v>0</v>
      </c>
      <c r="D176" s="435"/>
      <c r="E176" s="21"/>
      <c r="F176" s="21"/>
      <c r="G176" s="21"/>
      <c r="H176" s="21"/>
    </row>
    <row r="177" spans="1:8" hidden="1" x14ac:dyDescent="0.25">
      <c r="A177" s="349">
        <f>'Трудозатраты членов ВТК'!$D624</f>
        <v>0</v>
      </c>
      <c r="B177" s="349" t="e">
        <f>'Трудозатраты членов ВТК'!$B624</f>
        <v>#N/A</v>
      </c>
      <c r="C177" s="349">
        <f>'Трудозатраты членов ВТК'!$C624</f>
        <v>0</v>
      </c>
      <c r="D177" s="435"/>
      <c r="E177" s="21"/>
      <c r="F177" s="21"/>
      <c r="G177" s="21"/>
      <c r="H177" s="21"/>
    </row>
    <row r="178" spans="1:8" hidden="1" x14ac:dyDescent="0.25">
      <c r="A178" s="349">
        <f>'Трудозатраты членов ВТК'!$D625</f>
        <v>0</v>
      </c>
      <c r="B178" s="349" t="e">
        <f>'Трудозатраты членов ВТК'!$B625</f>
        <v>#N/A</v>
      </c>
      <c r="C178" s="349">
        <f>'Трудозатраты членов ВТК'!$C625</f>
        <v>0</v>
      </c>
      <c r="D178" s="435"/>
      <c r="E178" s="21"/>
      <c r="F178" s="21"/>
      <c r="G178" s="21"/>
      <c r="H178" s="21"/>
    </row>
    <row r="179" spans="1:8" hidden="1" x14ac:dyDescent="0.25">
      <c r="A179" s="349">
        <f>'Трудозатраты членов ВТК'!$D626</f>
        <v>0</v>
      </c>
      <c r="B179" s="349" t="e">
        <f>'Трудозатраты членов ВТК'!$B626</f>
        <v>#N/A</v>
      </c>
      <c r="C179" s="349">
        <f>'Трудозатраты членов ВТК'!$C626</f>
        <v>0</v>
      </c>
      <c r="D179" s="435"/>
      <c r="E179" s="21"/>
      <c r="F179" s="21"/>
      <c r="G179" s="21"/>
      <c r="H179" s="21"/>
    </row>
    <row r="180" spans="1:8" hidden="1" x14ac:dyDescent="0.25">
      <c r="A180" s="349">
        <f>'Трудозатраты членов ВТК'!$D627</f>
        <v>0</v>
      </c>
      <c r="B180" s="349" t="e">
        <f>'Трудозатраты членов ВТК'!$B627</f>
        <v>#N/A</v>
      </c>
      <c r="C180" s="349">
        <f>'Трудозатраты членов ВТК'!$C627</f>
        <v>0</v>
      </c>
      <c r="D180" s="435"/>
      <c r="E180" s="21"/>
      <c r="F180" s="21"/>
      <c r="G180" s="21"/>
      <c r="H180" s="21"/>
    </row>
    <row r="181" spans="1:8" hidden="1" x14ac:dyDescent="0.25">
      <c r="A181" s="349">
        <f>'Трудозатраты членов ВТК'!$D628</f>
        <v>0</v>
      </c>
      <c r="B181" s="349" t="e">
        <f>'Трудозатраты членов ВТК'!$B628</f>
        <v>#N/A</v>
      </c>
      <c r="C181" s="349">
        <f>'Трудозатраты членов ВТК'!$C628</f>
        <v>0</v>
      </c>
      <c r="D181" s="435"/>
      <c r="E181" s="21"/>
      <c r="F181" s="21"/>
      <c r="G181" s="21"/>
      <c r="H181" s="21"/>
    </row>
    <row r="182" spans="1:8" hidden="1" x14ac:dyDescent="0.25">
      <c r="A182" s="349">
        <f>'Трудозатраты членов ВТК'!$D629</f>
        <v>0</v>
      </c>
      <c r="B182" s="349" t="e">
        <f>'Трудозатраты членов ВТК'!$B629</f>
        <v>#N/A</v>
      </c>
      <c r="C182" s="349">
        <f>'Трудозатраты членов ВТК'!$C629</f>
        <v>0</v>
      </c>
      <c r="D182" s="435"/>
      <c r="E182" s="21"/>
      <c r="F182" s="21"/>
      <c r="G182" s="21"/>
      <c r="H182" s="21"/>
    </row>
    <row r="183" spans="1:8" hidden="1" x14ac:dyDescent="0.25">
      <c r="A183" s="349">
        <f>'Трудозатраты членов ВТК'!$D630</f>
        <v>0</v>
      </c>
      <c r="B183" s="349" t="e">
        <f>'Трудозатраты членов ВТК'!$B630</f>
        <v>#N/A</v>
      </c>
      <c r="C183" s="349">
        <f>'Трудозатраты членов ВТК'!$C630</f>
        <v>0</v>
      </c>
      <c r="D183" s="435"/>
      <c r="E183" s="21"/>
      <c r="F183" s="21"/>
      <c r="G183" s="21"/>
      <c r="H183" s="21"/>
    </row>
    <row r="184" spans="1:8" hidden="1" x14ac:dyDescent="0.25">
      <c r="A184" s="349">
        <f>'Трудозатраты членов ВТК'!$D631</f>
        <v>0</v>
      </c>
      <c r="B184" s="349" t="e">
        <f>'Трудозатраты членов ВТК'!$B631</f>
        <v>#N/A</v>
      </c>
      <c r="C184" s="349">
        <f>'Трудозатраты членов ВТК'!$C631</f>
        <v>0</v>
      </c>
      <c r="D184" s="435"/>
      <c r="E184" s="21"/>
      <c r="F184" s="21"/>
      <c r="G184" s="21"/>
      <c r="H184" s="21"/>
    </row>
    <row r="185" spans="1:8" hidden="1" x14ac:dyDescent="0.25">
      <c r="A185" s="349">
        <f>'Трудозатраты членов ВТК'!$D632</f>
        <v>0</v>
      </c>
      <c r="B185" s="349" t="e">
        <f>'Трудозатраты членов ВТК'!$B632</f>
        <v>#N/A</v>
      </c>
      <c r="C185" s="349">
        <f>'Трудозатраты членов ВТК'!$C632</f>
        <v>0</v>
      </c>
      <c r="D185" s="435"/>
      <c r="E185" s="21"/>
      <c r="F185" s="21"/>
      <c r="G185" s="21"/>
      <c r="H185" s="21"/>
    </row>
    <row r="186" spans="1:8" hidden="1" x14ac:dyDescent="0.25">
      <c r="A186" s="349">
        <f>'Трудозатраты членов ВТК'!$D633</f>
        <v>0</v>
      </c>
      <c r="B186" s="349" t="e">
        <f>'Трудозатраты членов ВТК'!$B633</f>
        <v>#N/A</v>
      </c>
      <c r="C186" s="349">
        <f>'Трудозатраты членов ВТК'!$C633</f>
        <v>0</v>
      </c>
      <c r="D186" s="435"/>
      <c r="E186" s="21"/>
      <c r="F186" s="21"/>
      <c r="G186" s="21"/>
      <c r="H186" s="21"/>
    </row>
    <row r="187" spans="1:8" hidden="1" x14ac:dyDescent="0.25">
      <c r="A187" s="349">
        <f>'Трудозатраты членов ВТК'!$D634</f>
        <v>0</v>
      </c>
      <c r="B187" s="349" t="e">
        <f>'Трудозатраты членов ВТК'!$B634</f>
        <v>#N/A</v>
      </c>
      <c r="C187" s="349">
        <f>'Трудозатраты членов ВТК'!$C634</f>
        <v>0</v>
      </c>
      <c r="D187" s="435"/>
      <c r="E187" s="21"/>
      <c r="F187" s="21"/>
      <c r="G187" s="21"/>
      <c r="H187" s="21"/>
    </row>
    <row r="188" spans="1:8" hidden="1" x14ac:dyDescent="0.25">
      <c r="A188" s="349">
        <f>'Трудозатраты членов ВТК'!$D635</f>
        <v>0</v>
      </c>
      <c r="B188" s="349" t="e">
        <f>'Трудозатраты членов ВТК'!$B635</f>
        <v>#N/A</v>
      </c>
      <c r="C188" s="349">
        <f>'Трудозатраты членов ВТК'!$C635</f>
        <v>0</v>
      </c>
      <c r="D188" s="435"/>
      <c r="E188" s="21"/>
      <c r="F188" s="21"/>
      <c r="G188" s="21"/>
      <c r="H188" s="21"/>
    </row>
    <row r="189" spans="1:8" hidden="1" x14ac:dyDescent="0.25">
      <c r="A189" s="349">
        <f>'Трудозатраты членов ВТК'!$D636</f>
        <v>0</v>
      </c>
      <c r="B189" s="349" t="e">
        <f>'Трудозатраты членов ВТК'!$B636</f>
        <v>#N/A</v>
      </c>
      <c r="C189" s="349">
        <f>'Трудозатраты членов ВТК'!$C636</f>
        <v>0</v>
      </c>
      <c r="D189" s="435"/>
      <c r="E189" s="21"/>
      <c r="F189" s="21"/>
      <c r="G189" s="21"/>
      <c r="H189" s="21"/>
    </row>
    <row r="190" spans="1:8" hidden="1" x14ac:dyDescent="0.25">
      <c r="A190" s="349">
        <f>'Трудозатраты членов ВТК'!$D637</f>
        <v>0</v>
      </c>
      <c r="B190" s="349" t="e">
        <f>'Трудозатраты членов ВТК'!$B637</f>
        <v>#N/A</v>
      </c>
      <c r="C190" s="349">
        <f>'Трудозатраты членов ВТК'!$C637</f>
        <v>0</v>
      </c>
      <c r="D190" s="435"/>
      <c r="E190" s="21"/>
      <c r="F190" s="21"/>
      <c r="G190" s="21"/>
      <c r="H190" s="21"/>
    </row>
    <row r="191" spans="1:8" hidden="1" x14ac:dyDescent="0.25">
      <c r="A191" s="349">
        <f>'Трудозатраты членов ВТК'!$D638</f>
        <v>0</v>
      </c>
      <c r="B191" s="349" t="e">
        <f>'Трудозатраты членов ВТК'!$B638</f>
        <v>#N/A</v>
      </c>
      <c r="C191" s="349">
        <f>'Трудозатраты членов ВТК'!$C638</f>
        <v>0</v>
      </c>
      <c r="D191" s="435"/>
      <c r="E191" s="21"/>
      <c r="F191" s="21"/>
      <c r="G191" s="21"/>
      <c r="H191" s="21"/>
    </row>
    <row r="192" spans="1:8" hidden="1" x14ac:dyDescent="0.25">
      <c r="A192" s="349">
        <f>'Трудозатраты членов ВТК'!$D639</f>
        <v>0</v>
      </c>
      <c r="B192" s="349" t="e">
        <f>'Трудозатраты членов ВТК'!$B639</f>
        <v>#N/A</v>
      </c>
      <c r="C192" s="349">
        <f>'Трудозатраты членов ВТК'!$C639</f>
        <v>0</v>
      </c>
      <c r="D192" s="435"/>
      <c r="E192" s="21"/>
      <c r="F192" s="21"/>
      <c r="G192" s="21"/>
      <c r="H192" s="21"/>
    </row>
    <row r="193" spans="1:8" hidden="1" x14ac:dyDescent="0.25">
      <c r="A193" s="349">
        <f>'Трудозатраты членов ВТК'!$D640</f>
        <v>0</v>
      </c>
      <c r="B193" s="349" t="e">
        <f>'Трудозатраты членов ВТК'!$B640</f>
        <v>#N/A</v>
      </c>
      <c r="C193" s="349">
        <f>'Трудозатраты членов ВТК'!$C640</f>
        <v>0</v>
      </c>
      <c r="D193" s="435"/>
      <c r="E193" s="21"/>
      <c r="F193" s="21"/>
      <c r="G193" s="21"/>
      <c r="H193" s="21"/>
    </row>
    <row r="194" spans="1:8" hidden="1" x14ac:dyDescent="0.25">
      <c r="A194" s="349">
        <f>'Трудозатраты членов ВТК'!$D641</f>
        <v>0</v>
      </c>
      <c r="B194" s="349" t="e">
        <f>'Трудозатраты членов ВТК'!$B641</f>
        <v>#N/A</v>
      </c>
      <c r="C194" s="349">
        <f>'Трудозатраты членов ВТК'!$C641</f>
        <v>0</v>
      </c>
      <c r="D194" s="435"/>
      <c r="E194" s="21"/>
      <c r="F194" s="21"/>
      <c r="G194" s="21"/>
      <c r="H194" s="21"/>
    </row>
    <row r="195" spans="1:8" hidden="1" x14ac:dyDescent="0.25">
      <c r="A195" s="349">
        <f>'Трудозатраты членов ВТК'!$D642</f>
        <v>0</v>
      </c>
      <c r="B195" s="349" t="e">
        <f>'Трудозатраты членов ВТК'!$B642</f>
        <v>#N/A</v>
      </c>
      <c r="C195" s="349">
        <f>'Трудозатраты членов ВТК'!$C642</f>
        <v>0</v>
      </c>
      <c r="D195" s="435"/>
      <c r="E195" s="21"/>
      <c r="F195" s="21"/>
      <c r="G195" s="21"/>
      <c r="H195" s="21"/>
    </row>
    <row r="196" spans="1:8" hidden="1" x14ac:dyDescent="0.25">
      <c r="A196" s="349">
        <f>'Трудозатраты членов ВТК'!$D643</f>
        <v>0</v>
      </c>
      <c r="B196" s="349" t="e">
        <f>'Трудозатраты членов ВТК'!$B643</f>
        <v>#N/A</v>
      </c>
      <c r="C196" s="349">
        <f>'Трудозатраты членов ВТК'!$C643</f>
        <v>0</v>
      </c>
      <c r="D196" s="435"/>
      <c r="E196" s="21"/>
      <c r="F196" s="21"/>
      <c r="G196" s="21"/>
      <c r="H196" s="21"/>
    </row>
    <row r="197" spans="1:8" hidden="1" x14ac:dyDescent="0.25">
      <c r="A197" s="349">
        <f>'Трудозатраты членов ВТК'!$D644</f>
        <v>0</v>
      </c>
      <c r="B197" s="349" t="e">
        <f>'Трудозатраты членов ВТК'!$B644</f>
        <v>#N/A</v>
      </c>
      <c r="C197" s="349">
        <f>'Трудозатраты членов ВТК'!$C644</f>
        <v>0</v>
      </c>
      <c r="D197" s="435"/>
      <c r="E197" s="21"/>
      <c r="F197" s="21"/>
      <c r="G197" s="21"/>
      <c r="H197" s="21"/>
    </row>
    <row r="198" spans="1:8" hidden="1" x14ac:dyDescent="0.25">
      <c r="A198" s="349">
        <f>'Трудозатраты членов ВТК'!$D645</f>
        <v>0</v>
      </c>
      <c r="B198" s="349" t="e">
        <f>'Трудозатраты членов ВТК'!$B645</f>
        <v>#N/A</v>
      </c>
      <c r="C198" s="349">
        <f>'Трудозатраты членов ВТК'!$C645</f>
        <v>0</v>
      </c>
      <c r="D198" s="435"/>
      <c r="E198" s="21"/>
      <c r="F198" s="21"/>
      <c r="G198" s="21"/>
      <c r="H198" s="21"/>
    </row>
    <row r="199" spans="1:8" hidden="1" x14ac:dyDescent="0.25">
      <c r="A199" s="349">
        <f>'Трудозатраты членов ВТК'!$D646</f>
        <v>0</v>
      </c>
      <c r="B199" s="349" t="e">
        <f>'Трудозатраты членов ВТК'!$B646</f>
        <v>#N/A</v>
      </c>
      <c r="C199" s="349">
        <f>'Трудозатраты членов ВТК'!$C646</f>
        <v>0</v>
      </c>
      <c r="D199" s="435"/>
      <c r="E199" s="21"/>
      <c r="F199" s="21"/>
      <c r="G199" s="21"/>
      <c r="H199" s="21"/>
    </row>
    <row r="200" spans="1:8" hidden="1" x14ac:dyDescent="0.25">
      <c r="A200" s="349">
        <f>'Трудозатраты членов ВТК'!$D647</f>
        <v>0</v>
      </c>
      <c r="B200" s="349" t="e">
        <f>'Трудозатраты членов ВТК'!$B647</f>
        <v>#N/A</v>
      </c>
      <c r="C200" s="349">
        <f>'Трудозатраты членов ВТК'!$C647</f>
        <v>0</v>
      </c>
      <c r="D200" s="435"/>
      <c r="E200" s="21"/>
      <c r="F200" s="21"/>
      <c r="G200" s="21"/>
      <c r="H200" s="21"/>
    </row>
    <row r="201" spans="1:8" hidden="1" x14ac:dyDescent="0.25">
      <c r="A201" s="349">
        <f>'Трудозатраты членов ВТК'!$D648</f>
        <v>0</v>
      </c>
      <c r="B201" s="349" t="e">
        <f>'Трудозатраты членов ВТК'!$B648</f>
        <v>#N/A</v>
      </c>
      <c r="C201" s="349">
        <f>'Трудозатраты членов ВТК'!$C648</f>
        <v>0</v>
      </c>
      <c r="D201" s="435"/>
      <c r="E201" s="21"/>
      <c r="F201" s="21"/>
      <c r="G201" s="21"/>
      <c r="H201" s="21"/>
    </row>
    <row r="202" spans="1:8" hidden="1" x14ac:dyDescent="0.25">
      <c r="A202" s="349">
        <f>'Трудозатраты членов ВТК'!$D649</f>
        <v>0</v>
      </c>
      <c r="B202" s="349" t="e">
        <f>'Трудозатраты членов ВТК'!$B649</f>
        <v>#N/A</v>
      </c>
      <c r="C202" s="349">
        <f>'Трудозатраты членов ВТК'!$C649</f>
        <v>0</v>
      </c>
      <c r="D202" s="435"/>
      <c r="E202" s="21"/>
      <c r="F202" s="21"/>
      <c r="G202" s="21"/>
      <c r="H202" s="21"/>
    </row>
    <row r="203" spans="1:8" hidden="1" x14ac:dyDescent="0.25">
      <c r="A203" s="349">
        <f>'Трудозатраты членов ВТК'!$D650</f>
        <v>0</v>
      </c>
      <c r="B203" s="349" t="e">
        <f>'Трудозатраты членов ВТК'!$B650</f>
        <v>#N/A</v>
      </c>
      <c r="C203" s="349">
        <f>'Трудозатраты членов ВТК'!$C650</f>
        <v>0</v>
      </c>
      <c r="D203" s="435"/>
      <c r="E203" s="21"/>
      <c r="F203" s="21"/>
      <c r="G203" s="21"/>
      <c r="H203" s="21"/>
    </row>
    <row r="204" spans="1:8" hidden="1" x14ac:dyDescent="0.25">
      <c r="A204" s="349">
        <f>'Трудозатраты членов ВТК'!$D651</f>
        <v>0</v>
      </c>
      <c r="B204" s="349" t="e">
        <f>'Трудозатраты членов ВТК'!$B651</f>
        <v>#N/A</v>
      </c>
      <c r="C204" s="349">
        <f>'Трудозатраты членов ВТК'!$C651</f>
        <v>0</v>
      </c>
      <c r="D204" s="435"/>
      <c r="E204" s="21"/>
      <c r="F204" s="21"/>
      <c r="G204" s="21"/>
      <c r="H204" s="21"/>
    </row>
    <row r="205" spans="1:8" hidden="1" x14ac:dyDescent="0.25">
      <c r="A205" s="349">
        <f>'Трудозатраты членов ВТК'!$D652</f>
        <v>0</v>
      </c>
      <c r="B205" s="349" t="e">
        <f>'Трудозатраты членов ВТК'!$B652</f>
        <v>#N/A</v>
      </c>
      <c r="C205" s="349">
        <f>'Трудозатраты членов ВТК'!$C652</f>
        <v>0</v>
      </c>
      <c r="D205" s="435"/>
      <c r="E205" s="21"/>
      <c r="F205" s="21"/>
      <c r="G205" s="21"/>
      <c r="H205" s="21"/>
    </row>
    <row r="206" spans="1:8" hidden="1" x14ac:dyDescent="0.25">
      <c r="A206" s="349">
        <f>'Трудозатраты членов ВТК'!$D653</f>
        <v>0</v>
      </c>
      <c r="B206" s="349" t="e">
        <f>'Трудозатраты членов ВТК'!$B653</f>
        <v>#N/A</v>
      </c>
      <c r="C206" s="349">
        <f>'Трудозатраты членов ВТК'!$C653</f>
        <v>0</v>
      </c>
      <c r="D206" s="435"/>
      <c r="E206" s="21"/>
      <c r="F206" s="21"/>
      <c r="G206" s="21"/>
      <c r="H206" s="21"/>
    </row>
    <row r="207" spans="1:8" hidden="1" x14ac:dyDescent="0.25">
      <c r="A207" s="349">
        <f>'Трудозатраты членов ВТК'!$D654</f>
        <v>0</v>
      </c>
      <c r="B207" s="349" t="e">
        <f>'Трудозатраты членов ВТК'!$B654</f>
        <v>#N/A</v>
      </c>
      <c r="C207" s="349">
        <f>'Трудозатраты членов ВТК'!$C654</f>
        <v>0</v>
      </c>
      <c r="D207" s="435"/>
      <c r="E207" s="21"/>
      <c r="F207" s="21"/>
      <c r="G207" s="21"/>
      <c r="H207" s="21"/>
    </row>
    <row r="208" spans="1:8" hidden="1" x14ac:dyDescent="0.25">
      <c r="A208" s="349">
        <f>'Трудозатраты членов ВТК'!$D655</f>
        <v>0</v>
      </c>
      <c r="B208" s="349" t="e">
        <f>'Трудозатраты членов ВТК'!$B655</f>
        <v>#N/A</v>
      </c>
      <c r="C208" s="349">
        <f>'Трудозатраты членов ВТК'!$C655</f>
        <v>0</v>
      </c>
      <c r="D208" s="435"/>
      <c r="E208" s="21"/>
      <c r="F208" s="21"/>
      <c r="G208" s="21"/>
      <c r="H208" s="21"/>
    </row>
    <row r="209" spans="1:8" hidden="1" x14ac:dyDescent="0.25">
      <c r="A209" s="349">
        <f>'Трудозатраты членов ВТК'!$D656</f>
        <v>0</v>
      </c>
      <c r="B209" s="349" t="e">
        <f>'Трудозатраты членов ВТК'!$B656</f>
        <v>#N/A</v>
      </c>
      <c r="C209" s="349">
        <f>'Трудозатраты членов ВТК'!$C656</f>
        <v>0</v>
      </c>
      <c r="D209" s="435"/>
      <c r="E209" s="21"/>
      <c r="F209" s="21"/>
      <c r="G209" s="21"/>
      <c r="H209" s="21"/>
    </row>
    <row r="210" spans="1:8" hidden="1" x14ac:dyDescent="0.25">
      <c r="A210" s="349">
        <f>'Трудозатраты членов ВТК'!$D657</f>
        <v>0</v>
      </c>
      <c r="B210" s="349" t="e">
        <f>'Трудозатраты членов ВТК'!$B657</f>
        <v>#N/A</v>
      </c>
      <c r="C210" s="349">
        <f>'Трудозатраты членов ВТК'!$C657</f>
        <v>0</v>
      </c>
      <c r="D210" s="435"/>
      <c r="E210" s="21"/>
      <c r="F210" s="21"/>
      <c r="G210" s="21"/>
      <c r="H210" s="21"/>
    </row>
    <row r="211" spans="1:8" hidden="1" x14ac:dyDescent="0.25">
      <c r="A211" s="349">
        <f>'Трудозатраты членов ВТК'!$D658</f>
        <v>0</v>
      </c>
      <c r="B211" s="349" t="e">
        <f>'Трудозатраты членов ВТК'!$B658</f>
        <v>#N/A</v>
      </c>
      <c r="C211" s="349">
        <f>'Трудозатраты членов ВТК'!$C658</f>
        <v>0</v>
      </c>
      <c r="D211" s="435"/>
      <c r="E211" s="21"/>
      <c r="F211" s="21"/>
      <c r="G211" s="21"/>
      <c r="H211" s="21"/>
    </row>
    <row r="212" spans="1:8" hidden="1" x14ac:dyDescent="0.25">
      <c r="A212" s="349">
        <f>'Трудозатраты членов ВТК'!$D659</f>
        <v>0</v>
      </c>
      <c r="B212" s="349" t="e">
        <f>'Трудозатраты членов ВТК'!$B659</f>
        <v>#N/A</v>
      </c>
      <c r="C212" s="349">
        <f>'Трудозатраты членов ВТК'!$C659</f>
        <v>0</v>
      </c>
      <c r="D212" s="435"/>
      <c r="E212" s="21"/>
      <c r="F212" s="21"/>
      <c r="G212" s="21"/>
      <c r="H212" s="21"/>
    </row>
    <row r="213" spans="1:8" hidden="1" x14ac:dyDescent="0.25">
      <c r="A213" s="349">
        <f>'Трудозатраты членов ВТК'!$D660</f>
        <v>0</v>
      </c>
      <c r="B213" s="349" t="e">
        <f>'Трудозатраты членов ВТК'!$B660</f>
        <v>#N/A</v>
      </c>
      <c r="C213" s="349">
        <f>'Трудозатраты членов ВТК'!$C660</f>
        <v>0</v>
      </c>
      <c r="D213" s="435"/>
      <c r="E213" s="21"/>
      <c r="F213" s="21"/>
      <c r="G213" s="21"/>
      <c r="H213" s="21"/>
    </row>
    <row r="214" spans="1:8" hidden="1" x14ac:dyDescent="0.25">
      <c r="A214" s="349">
        <f>'Трудозатраты членов ВТК'!$D661</f>
        <v>0</v>
      </c>
      <c r="B214" s="349" t="e">
        <f>'Трудозатраты членов ВТК'!$B661</f>
        <v>#N/A</v>
      </c>
      <c r="C214" s="349">
        <f>'Трудозатраты членов ВТК'!$C661</f>
        <v>0</v>
      </c>
      <c r="D214" s="435"/>
      <c r="E214" s="21"/>
      <c r="F214" s="21"/>
      <c r="G214" s="21"/>
      <c r="H214" s="21"/>
    </row>
    <row r="215" spans="1:8" hidden="1" x14ac:dyDescent="0.25">
      <c r="A215" s="349">
        <f>'Трудозатраты членов ВТК'!$D662</f>
        <v>0</v>
      </c>
      <c r="B215" s="349" t="e">
        <f>'Трудозатраты членов ВТК'!$B662</f>
        <v>#N/A</v>
      </c>
      <c r="C215" s="349">
        <f>'Трудозатраты членов ВТК'!$C662</f>
        <v>0</v>
      </c>
      <c r="D215" s="435"/>
      <c r="E215" s="21"/>
      <c r="F215" s="21"/>
      <c r="G215" s="21"/>
      <c r="H215" s="21"/>
    </row>
    <row r="216" spans="1:8" hidden="1" x14ac:dyDescent="0.25">
      <c r="A216" s="349">
        <f>'Трудозатраты членов ВТК'!$D663</f>
        <v>0</v>
      </c>
      <c r="B216" s="349" t="e">
        <f>'Трудозатраты членов ВТК'!$B663</f>
        <v>#N/A</v>
      </c>
      <c r="C216" s="349">
        <f>'Трудозатраты членов ВТК'!$C663</f>
        <v>0</v>
      </c>
      <c r="D216" s="435"/>
      <c r="E216" s="21"/>
      <c r="F216" s="21"/>
      <c r="G216" s="21"/>
      <c r="H216" s="21"/>
    </row>
    <row r="217" spans="1:8" hidden="1" x14ac:dyDescent="0.25">
      <c r="A217" s="349">
        <f>'Трудозатраты членов ВТК'!$D664</f>
        <v>0</v>
      </c>
      <c r="B217" s="349" t="e">
        <f>'Трудозатраты членов ВТК'!$B664</f>
        <v>#N/A</v>
      </c>
      <c r="C217" s="349">
        <f>'Трудозатраты членов ВТК'!$C664</f>
        <v>0</v>
      </c>
      <c r="D217" s="435"/>
      <c r="E217" s="21"/>
      <c r="F217" s="21"/>
      <c r="G217" s="21"/>
      <c r="H217" s="21"/>
    </row>
    <row r="218" spans="1:8" hidden="1" x14ac:dyDescent="0.25">
      <c r="A218" s="349">
        <f>'Трудозатраты членов ВТК'!$D665</f>
        <v>0</v>
      </c>
      <c r="B218" s="349" t="e">
        <f>'Трудозатраты членов ВТК'!$B665</f>
        <v>#N/A</v>
      </c>
      <c r="C218" s="349">
        <f>'Трудозатраты членов ВТК'!$C665</f>
        <v>0</v>
      </c>
      <c r="D218" s="435"/>
      <c r="E218" s="21"/>
      <c r="F218" s="21"/>
      <c r="G218" s="21"/>
      <c r="H218" s="21"/>
    </row>
    <row r="219" spans="1:8" hidden="1" x14ac:dyDescent="0.25">
      <c r="A219" s="349">
        <f>'Трудозатраты членов ВТК'!$D666</f>
        <v>0</v>
      </c>
      <c r="B219" s="349" t="e">
        <f>'Трудозатраты членов ВТК'!$B666</f>
        <v>#N/A</v>
      </c>
      <c r="C219" s="349">
        <f>'Трудозатраты членов ВТК'!$C666</f>
        <v>0</v>
      </c>
      <c r="D219" s="435"/>
      <c r="E219" s="21"/>
      <c r="F219" s="21"/>
      <c r="G219" s="21"/>
      <c r="H219" s="21"/>
    </row>
    <row r="220" spans="1:8" hidden="1" x14ac:dyDescent="0.25">
      <c r="A220" s="349">
        <f>'Трудозатраты членов ВТК'!$D667</f>
        <v>0</v>
      </c>
      <c r="B220" s="349" t="e">
        <f>'Трудозатраты членов ВТК'!$B667</f>
        <v>#N/A</v>
      </c>
      <c r="C220" s="349">
        <f>'Трудозатраты членов ВТК'!$C667</f>
        <v>0</v>
      </c>
      <c r="D220" s="435"/>
      <c r="E220" s="21"/>
      <c r="F220" s="21"/>
      <c r="G220" s="21"/>
      <c r="H220" s="21"/>
    </row>
    <row r="221" spans="1:8" hidden="1" x14ac:dyDescent="0.25">
      <c r="A221" s="349">
        <f>'Трудозатраты членов ВТК'!$D668</f>
        <v>0</v>
      </c>
      <c r="B221" s="349" t="e">
        <f>'Трудозатраты членов ВТК'!$B668</f>
        <v>#N/A</v>
      </c>
      <c r="C221" s="349">
        <f>'Трудозатраты членов ВТК'!$C668</f>
        <v>0</v>
      </c>
      <c r="D221" s="435"/>
      <c r="E221" s="21"/>
      <c r="F221" s="21"/>
      <c r="G221" s="21"/>
      <c r="H221" s="21"/>
    </row>
    <row r="222" spans="1:8" hidden="1" x14ac:dyDescent="0.25">
      <c r="A222" s="349">
        <f>'Трудозатраты членов ВТК'!$D669</f>
        <v>0</v>
      </c>
      <c r="B222" s="349" t="e">
        <f>'Трудозатраты членов ВТК'!$B669</f>
        <v>#N/A</v>
      </c>
      <c r="C222" s="349">
        <f>'Трудозатраты членов ВТК'!$C669</f>
        <v>0</v>
      </c>
      <c r="D222" s="435"/>
      <c r="E222" s="21"/>
      <c r="F222" s="21"/>
      <c r="G222" s="21"/>
      <c r="H222" s="21"/>
    </row>
    <row r="223" spans="1:8" hidden="1" x14ac:dyDescent="0.25">
      <c r="A223" s="349">
        <f>'Трудозатраты членов ВТК'!$D670</f>
        <v>0</v>
      </c>
      <c r="B223" s="349" t="e">
        <f>'Трудозатраты членов ВТК'!$B670</f>
        <v>#N/A</v>
      </c>
      <c r="C223" s="349">
        <f>'Трудозатраты членов ВТК'!$C670</f>
        <v>0</v>
      </c>
      <c r="D223" s="435"/>
      <c r="E223" s="21"/>
      <c r="F223" s="21"/>
      <c r="G223" s="21"/>
      <c r="H223" s="21"/>
    </row>
    <row r="224" spans="1:8" hidden="1" x14ac:dyDescent="0.25">
      <c r="A224" s="349">
        <f>'Трудозатраты членов ВТК'!$D671</f>
        <v>0</v>
      </c>
      <c r="B224" s="349" t="e">
        <f>'Трудозатраты членов ВТК'!$B671</f>
        <v>#N/A</v>
      </c>
      <c r="C224" s="349">
        <f>'Трудозатраты членов ВТК'!$C671</f>
        <v>0</v>
      </c>
      <c r="D224" s="435"/>
      <c r="E224" s="21"/>
      <c r="F224" s="21"/>
      <c r="G224" s="21"/>
      <c r="H224" s="21"/>
    </row>
    <row r="225" spans="1:8" hidden="1" x14ac:dyDescent="0.25">
      <c r="A225" s="349">
        <f>'Трудозатраты членов ВТК'!$D672</f>
        <v>0</v>
      </c>
      <c r="B225" s="349" t="e">
        <f>'Трудозатраты членов ВТК'!$B672</f>
        <v>#N/A</v>
      </c>
      <c r="C225" s="349">
        <f>'Трудозатраты членов ВТК'!$C672</f>
        <v>0</v>
      </c>
      <c r="D225" s="435"/>
      <c r="E225" s="21"/>
      <c r="F225" s="21"/>
      <c r="G225" s="21"/>
      <c r="H225" s="21"/>
    </row>
    <row r="226" spans="1:8" hidden="1" x14ac:dyDescent="0.25">
      <c r="A226" s="349">
        <f>'Трудозатраты членов ВТК'!$D673</f>
        <v>0</v>
      </c>
      <c r="B226" s="349" t="e">
        <f>'Трудозатраты членов ВТК'!$B673</f>
        <v>#N/A</v>
      </c>
      <c r="C226" s="349">
        <f>'Трудозатраты членов ВТК'!$C673</f>
        <v>0</v>
      </c>
      <c r="D226" s="435"/>
      <c r="E226" s="21"/>
      <c r="F226" s="21"/>
      <c r="G226" s="21"/>
      <c r="H226" s="21"/>
    </row>
    <row r="227" spans="1:8" hidden="1" x14ac:dyDescent="0.25">
      <c r="A227" s="349">
        <f>'Трудозатраты членов ВТК'!$D674</f>
        <v>0</v>
      </c>
      <c r="B227" s="349" t="e">
        <f>'Трудозатраты членов ВТК'!$B674</f>
        <v>#N/A</v>
      </c>
      <c r="C227" s="349">
        <f>'Трудозатраты членов ВТК'!$C674</f>
        <v>0</v>
      </c>
      <c r="D227" s="435"/>
      <c r="E227" s="21"/>
      <c r="F227" s="21"/>
      <c r="G227" s="21"/>
      <c r="H227" s="21"/>
    </row>
    <row r="228" spans="1:8" hidden="1" x14ac:dyDescent="0.25">
      <c r="A228" s="349">
        <f>'Трудозатраты членов ВТК'!$D675</f>
        <v>0</v>
      </c>
      <c r="B228" s="349" t="e">
        <f>'Трудозатраты членов ВТК'!$B675</f>
        <v>#N/A</v>
      </c>
      <c r="C228" s="349">
        <f>'Трудозатраты членов ВТК'!$C675</f>
        <v>0</v>
      </c>
      <c r="D228" s="435"/>
      <c r="E228" s="21"/>
      <c r="F228" s="21"/>
      <c r="G228" s="21"/>
      <c r="H228" s="21"/>
    </row>
    <row r="229" spans="1:8" hidden="1" x14ac:dyDescent="0.25">
      <c r="A229" s="349">
        <f>'Трудозатраты членов ВТК'!$D676</f>
        <v>0</v>
      </c>
      <c r="B229" s="349" t="e">
        <f>'Трудозатраты членов ВТК'!$B676</f>
        <v>#N/A</v>
      </c>
      <c r="C229" s="349">
        <f>'Трудозатраты членов ВТК'!$C676</f>
        <v>0</v>
      </c>
      <c r="D229" s="435"/>
      <c r="E229" s="21"/>
      <c r="F229" s="21"/>
      <c r="G229" s="21"/>
      <c r="H229" s="21"/>
    </row>
    <row r="230" spans="1:8" hidden="1" x14ac:dyDescent="0.25">
      <c r="A230" s="349">
        <f>'Трудозатраты членов ВТК'!$D677</f>
        <v>0</v>
      </c>
      <c r="B230" s="349" t="e">
        <f>'Трудозатраты членов ВТК'!$B677</f>
        <v>#N/A</v>
      </c>
      <c r="C230" s="349">
        <f>'Трудозатраты членов ВТК'!$C677</f>
        <v>0</v>
      </c>
      <c r="D230" s="435"/>
      <c r="E230" s="21"/>
      <c r="F230" s="21"/>
      <c r="G230" s="21"/>
      <c r="H230" s="21"/>
    </row>
    <row r="231" spans="1:8" hidden="1" x14ac:dyDescent="0.25">
      <c r="A231" s="349">
        <f>'Трудозатраты членов ВТК'!$D678</f>
        <v>0</v>
      </c>
      <c r="B231" s="349" t="e">
        <f>'Трудозатраты членов ВТК'!$B678</f>
        <v>#N/A</v>
      </c>
      <c r="C231" s="349">
        <f>'Трудозатраты членов ВТК'!$C678</f>
        <v>0</v>
      </c>
      <c r="D231" s="435"/>
      <c r="E231" s="21"/>
      <c r="F231" s="21"/>
      <c r="G231" s="21"/>
      <c r="H231" s="21"/>
    </row>
    <row r="232" spans="1:8" hidden="1" x14ac:dyDescent="0.25">
      <c r="A232" s="349">
        <f>'Трудозатраты членов ВТК'!$D679</f>
        <v>0</v>
      </c>
      <c r="B232" s="349" t="e">
        <f>'Трудозатраты членов ВТК'!$B679</f>
        <v>#N/A</v>
      </c>
      <c r="C232" s="349">
        <f>'Трудозатраты членов ВТК'!$C679</f>
        <v>0</v>
      </c>
      <c r="D232" s="435"/>
      <c r="E232" s="21"/>
      <c r="F232" s="21"/>
      <c r="G232" s="21"/>
      <c r="H232" s="21"/>
    </row>
    <row r="233" spans="1:8" hidden="1" x14ac:dyDescent="0.25">
      <c r="A233" s="349">
        <f>'Трудозатраты членов ВТК'!$D680</f>
        <v>0</v>
      </c>
      <c r="B233" s="349" t="e">
        <f>'Трудозатраты членов ВТК'!$B680</f>
        <v>#N/A</v>
      </c>
      <c r="C233" s="349">
        <f>'Трудозатраты членов ВТК'!$C680</f>
        <v>0</v>
      </c>
      <c r="D233" s="435"/>
      <c r="E233" s="21"/>
      <c r="F233" s="21"/>
      <c r="G233" s="21"/>
      <c r="H233" s="21"/>
    </row>
    <row r="234" spans="1:8" hidden="1" x14ac:dyDescent="0.25">
      <c r="A234" s="349">
        <f>'Трудозатраты членов ВТК'!$D681</f>
        <v>0</v>
      </c>
      <c r="B234" s="349" t="e">
        <f>'Трудозатраты членов ВТК'!$B681</f>
        <v>#N/A</v>
      </c>
      <c r="C234" s="349">
        <f>'Трудозатраты членов ВТК'!$C681</f>
        <v>0</v>
      </c>
      <c r="D234" s="435"/>
      <c r="E234" s="21"/>
      <c r="F234" s="21"/>
      <c r="G234" s="21"/>
      <c r="H234" s="21"/>
    </row>
    <row r="235" spans="1:8" hidden="1" x14ac:dyDescent="0.25">
      <c r="A235" s="349">
        <f>'Трудозатраты членов ВТК'!$D682</f>
        <v>0</v>
      </c>
      <c r="B235" s="349" t="e">
        <f>'Трудозатраты членов ВТК'!$B682</f>
        <v>#N/A</v>
      </c>
      <c r="C235" s="349">
        <f>'Трудозатраты членов ВТК'!$C682</f>
        <v>0</v>
      </c>
      <c r="D235" s="435"/>
      <c r="E235" s="21"/>
      <c r="F235" s="21"/>
      <c r="G235" s="21"/>
      <c r="H235" s="21"/>
    </row>
    <row r="236" spans="1:8" hidden="1" x14ac:dyDescent="0.25">
      <c r="A236" s="349">
        <f>'Трудозатраты членов ВТК'!$D683</f>
        <v>0</v>
      </c>
      <c r="B236" s="349" t="e">
        <f>'Трудозатраты членов ВТК'!$B683</f>
        <v>#N/A</v>
      </c>
      <c r="C236" s="349">
        <f>'Трудозатраты членов ВТК'!$C683</f>
        <v>0</v>
      </c>
      <c r="D236" s="435"/>
      <c r="E236" s="21"/>
      <c r="F236" s="21"/>
      <c r="G236" s="21"/>
      <c r="H236" s="21"/>
    </row>
    <row r="237" spans="1:8" hidden="1" x14ac:dyDescent="0.25">
      <c r="A237" s="349">
        <f>'Трудозатраты членов ВТК'!$D684</f>
        <v>0</v>
      </c>
      <c r="B237" s="349" t="e">
        <f>'Трудозатраты членов ВТК'!$B684</f>
        <v>#N/A</v>
      </c>
      <c r="C237" s="349">
        <f>'Трудозатраты членов ВТК'!$C684</f>
        <v>0</v>
      </c>
      <c r="D237" s="435"/>
      <c r="E237" s="21"/>
      <c r="F237" s="21"/>
      <c r="G237" s="21"/>
      <c r="H237" s="21"/>
    </row>
    <row r="238" spans="1:8" hidden="1" x14ac:dyDescent="0.25">
      <c r="A238" s="349">
        <f>'Трудозатраты членов ВТК'!$D685</f>
        <v>0</v>
      </c>
      <c r="B238" s="349" t="e">
        <f>'Трудозатраты членов ВТК'!$B685</f>
        <v>#N/A</v>
      </c>
      <c r="C238" s="349">
        <f>'Трудозатраты членов ВТК'!$C685</f>
        <v>0</v>
      </c>
      <c r="D238" s="435"/>
      <c r="E238" s="21"/>
      <c r="F238" s="21"/>
      <c r="G238" s="21"/>
      <c r="H238" s="21"/>
    </row>
    <row r="239" spans="1:8" hidden="1" x14ac:dyDescent="0.25">
      <c r="A239" s="349">
        <f>'Трудозатраты членов ВТК'!$D686</f>
        <v>0</v>
      </c>
      <c r="B239" s="349" t="e">
        <f>'Трудозатраты членов ВТК'!$B686</f>
        <v>#N/A</v>
      </c>
      <c r="C239" s="349">
        <f>'Трудозатраты членов ВТК'!$C686</f>
        <v>0</v>
      </c>
      <c r="D239" s="435"/>
      <c r="E239" s="21"/>
      <c r="F239" s="21"/>
      <c r="G239" s="21"/>
      <c r="H239" s="21"/>
    </row>
    <row r="240" spans="1:8" hidden="1" x14ac:dyDescent="0.25">
      <c r="A240" s="349">
        <f>'Трудозатраты членов ВТК'!$D687</f>
        <v>0</v>
      </c>
      <c r="B240" s="349" t="e">
        <f>'Трудозатраты членов ВТК'!$B687</f>
        <v>#N/A</v>
      </c>
      <c r="C240" s="349">
        <f>'Трудозатраты членов ВТК'!$C687</f>
        <v>0</v>
      </c>
      <c r="D240" s="435"/>
      <c r="E240" s="21"/>
      <c r="F240" s="21"/>
      <c r="G240" s="21"/>
      <c r="H240" s="21"/>
    </row>
    <row r="241" spans="1:8" hidden="1" x14ac:dyDescent="0.25">
      <c r="A241" s="349">
        <f>'Трудозатраты членов ВТК'!$D688</f>
        <v>0</v>
      </c>
      <c r="B241" s="349" t="e">
        <f>'Трудозатраты членов ВТК'!$B688</f>
        <v>#N/A</v>
      </c>
      <c r="C241" s="349">
        <f>'Трудозатраты членов ВТК'!$C688</f>
        <v>0</v>
      </c>
      <c r="D241" s="435"/>
      <c r="E241" s="21"/>
      <c r="F241" s="21"/>
      <c r="G241" s="21"/>
      <c r="H241" s="21"/>
    </row>
    <row r="242" spans="1:8" hidden="1" x14ac:dyDescent="0.25">
      <c r="A242" s="349">
        <f>'Трудозатраты членов ВТК'!$D689</f>
        <v>0</v>
      </c>
      <c r="B242" s="349" t="e">
        <f>'Трудозатраты членов ВТК'!$B689</f>
        <v>#N/A</v>
      </c>
      <c r="C242" s="349">
        <f>'Трудозатраты членов ВТК'!$C689</f>
        <v>0</v>
      </c>
      <c r="D242" s="435"/>
      <c r="E242" s="21"/>
      <c r="F242" s="21"/>
      <c r="G242" s="21"/>
      <c r="H242" s="21"/>
    </row>
    <row r="243" spans="1:8" hidden="1" x14ac:dyDescent="0.25">
      <c r="A243" s="349">
        <f>'Трудозатраты членов ВТК'!$D690</f>
        <v>0</v>
      </c>
      <c r="B243" s="349" t="e">
        <f>'Трудозатраты членов ВТК'!$B690</f>
        <v>#N/A</v>
      </c>
      <c r="C243" s="349">
        <f>'Трудозатраты членов ВТК'!$C690</f>
        <v>0</v>
      </c>
      <c r="D243" s="435"/>
      <c r="E243" s="21"/>
      <c r="F243" s="21"/>
      <c r="G243" s="21"/>
      <c r="H243" s="21"/>
    </row>
    <row r="244" spans="1:8" hidden="1" x14ac:dyDescent="0.25">
      <c r="A244" s="349">
        <f>'Трудозатраты членов ВТК'!$D691</f>
        <v>0</v>
      </c>
      <c r="B244" s="349" t="e">
        <f>'Трудозатраты членов ВТК'!$B691</f>
        <v>#N/A</v>
      </c>
      <c r="C244" s="349">
        <f>'Трудозатраты членов ВТК'!$C691</f>
        <v>0</v>
      </c>
      <c r="D244" s="435"/>
      <c r="E244" s="21"/>
      <c r="F244" s="21"/>
      <c r="G244" s="21"/>
      <c r="H244" s="21"/>
    </row>
    <row r="245" spans="1:8" hidden="1" x14ac:dyDescent="0.25">
      <c r="A245" s="349">
        <f>'Трудозатраты членов ВТК'!$D692</f>
        <v>0</v>
      </c>
      <c r="B245" s="349" t="e">
        <f>'Трудозатраты членов ВТК'!$B692</f>
        <v>#N/A</v>
      </c>
      <c r="C245" s="349">
        <f>'Трудозатраты членов ВТК'!$C692</f>
        <v>0</v>
      </c>
      <c r="D245" s="435"/>
      <c r="E245" s="21"/>
      <c r="F245" s="21"/>
      <c r="G245" s="21"/>
      <c r="H245" s="21"/>
    </row>
    <row r="246" spans="1:8" hidden="1" x14ac:dyDescent="0.25">
      <c r="A246" s="349">
        <f>'Трудозатраты членов ВТК'!$D693</f>
        <v>0</v>
      </c>
      <c r="B246" s="349" t="e">
        <f>'Трудозатраты членов ВТК'!$B693</f>
        <v>#N/A</v>
      </c>
      <c r="C246" s="349">
        <f>'Трудозатраты членов ВТК'!$C693</f>
        <v>0</v>
      </c>
      <c r="D246" s="435"/>
      <c r="E246" s="21"/>
      <c r="F246" s="21"/>
      <c r="G246" s="21"/>
      <c r="H246" s="21"/>
    </row>
    <row r="247" spans="1:8" hidden="1" x14ac:dyDescent="0.25">
      <c r="A247" s="349">
        <f>'Трудозатраты членов ВТК'!$D694</f>
        <v>0</v>
      </c>
      <c r="B247" s="349" t="e">
        <f>'Трудозатраты членов ВТК'!$B694</f>
        <v>#N/A</v>
      </c>
      <c r="C247" s="349">
        <f>'Трудозатраты членов ВТК'!$C694</f>
        <v>0</v>
      </c>
      <c r="D247" s="435"/>
      <c r="E247" s="21"/>
      <c r="F247" s="21"/>
      <c r="G247" s="21"/>
      <c r="H247" s="21"/>
    </row>
    <row r="248" spans="1:8" hidden="1" x14ac:dyDescent="0.25">
      <c r="A248" s="349">
        <f>'Трудозатраты членов ВТК'!$D695</f>
        <v>0</v>
      </c>
      <c r="B248" s="349" t="e">
        <f>'Трудозатраты членов ВТК'!$B695</f>
        <v>#N/A</v>
      </c>
      <c r="C248" s="349">
        <f>'Трудозатраты членов ВТК'!$C695</f>
        <v>0</v>
      </c>
      <c r="D248" s="435"/>
      <c r="E248" s="21"/>
      <c r="F248" s="21"/>
      <c r="G248" s="21"/>
      <c r="H248" s="21"/>
    </row>
    <row r="249" spans="1:8" hidden="1" x14ac:dyDescent="0.25">
      <c r="A249" s="349">
        <f>'Трудозатраты членов ВТК'!$D696</f>
        <v>0</v>
      </c>
      <c r="B249" s="349" t="e">
        <f>'Трудозатраты членов ВТК'!$B696</f>
        <v>#N/A</v>
      </c>
      <c r="C249" s="349">
        <f>'Трудозатраты членов ВТК'!$C696</f>
        <v>0</v>
      </c>
      <c r="D249" s="435"/>
      <c r="E249" s="21"/>
      <c r="F249" s="21"/>
      <c r="G249" s="21"/>
      <c r="H249" s="21"/>
    </row>
    <row r="250" spans="1:8" hidden="1" x14ac:dyDescent="0.25">
      <c r="A250" s="349">
        <f>'Трудозатраты членов ВТК'!$D697</f>
        <v>0</v>
      </c>
      <c r="B250" s="349" t="e">
        <f>'Трудозатраты членов ВТК'!$B697</f>
        <v>#N/A</v>
      </c>
      <c r="C250" s="349">
        <f>'Трудозатраты членов ВТК'!$C697</f>
        <v>0</v>
      </c>
      <c r="D250" s="435"/>
      <c r="E250" s="21"/>
      <c r="F250" s="21"/>
      <c r="G250" s="21"/>
      <c r="H250" s="21"/>
    </row>
    <row r="251" spans="1:8" hidden="1" x14ac:dyDescent="0.25">
      <c r="A251" s="349">
        <f>'Трудозатраты членов ВТК'!$D698</f>
        <v>0</v>
      </c>
      <c r="B251" s="349" t="e">
        <f>'Трудозатраты членов ВТК'!$B698</f>
        <v>#N/A</v>
      </c>
      <c r="C251" s="349">
        <f>'Трудозатраты членов ВТК'!$C698</f>
        <v>0</v>
      </c>
      <c r="D251" s="435"/>
      <c r="E251" s="21"/>
      <c r="F251" s="21"/>
      <c r="G251" s="21"/>
      <c r="H251" s="21"/>
    </row>
    <row r="252" spans="1:8" hidden="1" x14ac:dyDescent="0.25">
      <c r="A252" s="349">
        <f>'Трудозатраты членов ВТК'!$D699</f>
        <v>0</v>
      </c>
      <c r="B252" s="349" t="e">
        <f>'Трудозатраты членов ВТК'!$B699</f>
        <v>#N/A</v>
      </c>
      <c r="C252" s="349">
        <f>'Трудозатраты членов ВТК'!$C699</f>
        <v>0</v>
      </c>
      <c r="D252" s="435"/>
      <c r="E252" s="21"/>
      <c r="F252" s="21"/>
      <c r="G252" s="21"/>
      <c r="H252" s="21"/>
    </row>
    <row r="253" spans="1:8" hidden="1" x14ac:dyDescent="0.25">
      <c r="A253" s="349">
        <f>'Трудозатраты членов ВТК'!$D700</f>
        <v>0</v>
      </c>
      <c r="B253" s="349" t="e">
        <f>'Трудозатраты членов ВТК'!$B700</f>
        <v>#N/A</v>
      </c>
      <c r="C253" s="349">
        <f>'Трудозатраты членов ВТК'!$C700</f>
        <v>0</v>
      </c>
      <c r="D253" s="435"/>
      <c r="E253" s="21"/>
      <c r="F253" s="21"/>
      <c r="G253" s="21"/>
      <c r="H253" s="21"/>
    </row>
    <row r="254" spans="1:8" hidden="1" x14ac:dyDescent="0.25">
      <c r="A254" s="349">
        <f>'Трудозатраты членов ВТК'!$D701</f>
        <v>0</v>
      </c>
      <c r="B254" s="349" t="e">
        <f>'Трудозатраты членов ВТК'!$B701</f>
        <v>#N/A</v>
      </c>
      <c r="C254" s="349">
        <f>'Трудозатраты членов ВТК'!$C701</f>
        <v>0</v>
      </c>
      <c r="D254" s="435"/>
      <c r="E254" s="21"/>
      <c r="F254" s="21"/>
      <c r="G254" s="21"/>
      <c r="H254" s="21"/>
    </row>
    <row r="255" spans="1:8" hidden="1" x14ac:dyDescent="0.25">
      <c r="A255" s="349">
        <f>'Трудозатраты членов ВТК'!$D702</f>
        <v>0</v>
      </c>
      <c r="B255" s="349" t="e">
        <f>'Трудозатраты членов ВТК'!$B702</f>
        <v>#N/A</v>
      </c>
      <c r="C255" s="349">
        <f>'Трудозатраты членов ВТК'!$C702</f>
        <v>0</v>
      </c>
      <c r="D255" s="435"/>
      <c r="E255" s="21"/>
      <c r="F255" s="21"/>
      <c r="G255" s="21"/>
      <c r="H255" s="21"/>
    </row>
    <row r="256" spans="1:8" hidden="1" x14ac:dyDescent="0.25">
      <c r="A256" s="349">
        <f>'Трудозатраты членов ВТК'!$D703</f>
        <v>0</v>
      </c>
      <c r="B256" s="349" t="e">
        <f>'Трудозатраты членов ВТК'!$B703</f>
        <v>#N/A</v>
      </c>
      <c r="C256" s="349">
        <f>'Трудозатраты членов ВТК'!$C703</f>
        <v>0</v>
      </c>
      <c r="D256" s="435"/>
      <c r="E256" s="21"/>
      <c r="F256" s="21"/>
      <c r="G256" s="21"/>
      <c r="H256" s="21"/>
    </row>
    <row r="257" spans="1:8" hidden="1" x14ac:dyDescent="0.25">
      <c r="A257" s="349">
        <f>'Трудозатраты членов ВТК'!$D704</f>
        <v>0</v>
      </c>
      <c r="B257" s="349" t="e">
        <f>'Трудозатраты членов ВТК'!$B704</f>
        <v>#N/A</v>
      </c>
      <c r="C257" s="349">
        <f>'Трудозатраты членов ВТК'!$C704</f>
        <v>0</v>
      </c>
      <c r="D257" s="435"/>
      <c r="E257" s="21"/>
      <c r="F257" s="21"/>
      <c r="G257" s="21"/>
      <c r="H257" s="21"/>
    </row>
    <row r="258" spans="1:8" hidden="1" x14ac:dyDescent="0.25">
      <c r="A258" s="349">
        <f>'Трудозатраты членов ВТК'!$D705</f>
        <v>0</v>
      </c>
      <c r="B258" s="349" t="e">
        <f>'Трудозатраты членов ВТК'!$B705</f>
        <v>#N/A</v>
      </c>
      <c r="C258" s="349">
        <f>'Трудозатраты членов ВТК'!$C705</f>
        <v>0</v>
      </c>
      <c r="D258" s="435"/>
      <c r="E258" s="21"/>
      <c r="F258" s="21"/>
      <c r="G258" s="21"/>
      <c r="H258" s="21"/>
    </row>
    <row r="259" spans="1:8" hidden="1" x14ac:dyDescent="0.25">
      <c r="A259" s="349">
        <f>'Трудозатраты членов ВТК'!$D706</f>
        <v>0</v>
      </c>
      <c r="B259" s="349" t="e">
        <f>'Трудозатраты членов ВТК'!$B706</f>
        <v>#N/A</v>
      </c>
      <c r="C259" s="349">
        <f>'Трудозатраты членов ВТК'!$C706</f>
        <v>0</v>
      </c>
      <c r="D259" s="435"/>
      <c r="E259" s="21"/>
      <c r="F259" s="21"/>
      <c r="G259" s="21"/>
      <c r="H259" s="21"/>
    </row>
    <row r="260" spans="1:8" hidden="1" x14ac:dyDescent="0.25">
      <c r="A260" s="349">
        <f>'Трудозатраты членов ВТК'!$D707</f>
        <v>0</v>
      </c>
      <c r="B260" s="349" t="e">
        <f>'Трудозатраты членов ВТК'!$B707</f>
        <v>#N/A</v>
      </c>
      <c r="C260" s="349">
        <f>'Трудозатраты членов ВТК'!$C707</f>
        <v>0</v>
      </c>
      <c r="D260" s="435"/>
      <c r="E260" s="21"/>
      <c r="F260" s="21"/>
      <c r="G260" s="21"/>
      <c r="H260" s="21"/>
    </row>
    <row r="261" spans="1:8" hidden="1" x14ac:dyDescent="0.25">
      <c r="A261" s="349">
        <f>'Трудозатраты членов ВТК'!$D708</f>
        <v>0</v>
      </c>
      <c r="B261" s="349" t="e">
        <f>'Трудозатраты членов ВТК'!$B708</f>
        <v>#N/A</v>
      </c>
      <c r="C261" s="349">
        <f>'Трудозатраты членов ВТК'!$C708</f>
        <v>0</v>
      </c>
      <c r="D261" s="435"/>
      <c r="E261" s="21"/>
      <c r="F261" s="21"/>
      <c r="G261" s="21"/>
      <c r="H261" s="21"/>
    </row>
    <row r="262" spans="1:8" hidden="1" x14ac:dyDescent="0.25">
      <c r="A262" s="349">
        <f>'Трудозатраты членов ВТК'!$D709</f>
        <v>0</v>
      </c>
      <c r="B262" s="349" t="e">
        <f>'Трудозатраты членов ВТК'!$B709</f>
        <v>#N/A</v>
      </c>
      <c r="C262" s="349">
        <f>'Трудозатраты членов ВТК'!$C709</f>
        <v>0</v>
      </c>
      <c r="D262" s="435"/>
      <c r="E262" s="21"/>
      <c r="F262" s="21"/>
      <c r="G262" s="21"/>
      <c r="H262" s="21"/>
    </row>
    <row r="263" spans="1:8" hidden="1" x14ac:dyDescent="0.25">
      <c r="A263" s="349">
        <f>'Трудозатраты членов ВТК'!$D710</f>
        <v>0</v>
      </c>
      <c r="B263" s="349" t="e">
        <f>'Трудозатраты членов ВТК'!$B710</f>
        <v>#N/A</v>
      </c>
      <c r="C263" s="349">
        <f>'Трудозатраты членов ВТК'!$C710</f>
        <v>0</v>
      </c>
      <c r="D263" s="435"/>
      <c r="E263" s="21"/>
      <c r="F263" s="21"/>
      <c r="G263" s="21"/>
      <c r="H263" s="21"/>
    </row>
    <row r="264" spans="1:8" hidden="1" x14ac:dyDescent="0.25">
      <c r="A264" s="437">
        <f>'Трудозатраты членов ВТК'!$D711</f>
        <v>0</v>
      </c>
      <c r="B264" s="437" t="e">
        <f>'Трудозатраты членов ВТК'!$B711</f>
        <v>#N/A</v>
      </c>
      <c r="C264" s="437">
        <f>'Трудозатраты членов ВТК'!$C711</f>
        <v>0</v>
      </c>
      <c r="D264" s="435"/>
      <c r="E264" s="21"/>
      <c r="F264" s="21"/>
      <c r="G264" s="21"/>
      <c r="H264" s="21"/>
    </row>
    <row r="265" spans="1:8" hidden="1" x14ac:dyDescent="0.25">
      <c r="A265" s="437">
        <f>'Трудозатраты членов ВТК'!$D712</f>
        <v>0</v>
      </c>
      <c r="B265" s="437" t="e">
        <f>'Трудозатраты членов ВТК'!$B712</f>
        <v>#N/A</v>
      </c>
      <c r="C265" s="437">
        <f>'Трудозатраты членов ВТК'!$C712</f>
        <v>0</v>
      </c>
      <c r="D265" s="435"/>
      <c r="E265" s="21"/>
      <c r="F265" s="21"/>
      <c r="G265" s="21"/>
      <c r="H265" s="21"/>
    </row>
    <row r="266" spans="1:8" ht="15.75" x14ac:dyDescent="0.25">
      <c r="A266" s="11"/>
      <c r="B266" s="11"/>
      <c r="C266" s="11"/>
      <c r="D266" s="11"/>
      <c r="E266" s="11"/>
      <c r="F266" s="11"/>
      <c r="G266" s="11"/>
      <c r="H266" s="11"/>
    </row>
    <row r="269" spans="1:8" s="22" customFormat="1" ht="18.75" x14ac:dyDescent="0.3">
      <c r="A269" s="229" t="s">
        <v>274</v>
      </c>
      <c r="B269" s="229"/>
      <c r="C269" s="229"/>
      <c r="D269" s="229"/>
      <c r="E269" s="807" t="str">
        <f>IFERROR(INDEX('Состав ВТК'!$1:$1048576,MATCH(A269,'Состав ВТК'!J:J,0),MATCH($E$270,'Состав ВТК'!7:7,0)),"---")</f>
        <v>---</v>
      </c>
      <c r="F269" s="807"/>
      <c r="G269" s="489"/>
      <c r="H269" s="489"/>
    </row>
    <row r="270" spans="1:8" s="22" customFormat="1" ht="15.75" x14ac:dyDescent="0.25">
      <c r="A270" s="491"/>
      <c r="B270" s="491"/>
      <c r="C270" s="491"/>
      <c r="D270" s="491"/>
      <c r="E270" s="808" t="s">
        <v>2</v>
      </c>
      <c r="F270" s="808"/>
      <c r="G270" s="489"/>
      <c r="H270" s="489"/>
    </row>
    <row r="271" spans="1:8" s="22" customFormat="1" ht="15.75" x14ac:dyDescent="0.25">
      <c r="A271" s="491"/>
      <c r="B271" s="491"/>
      <c r="C271" s="491"/>
      <c r="D271" s="491"/>
      <c r="E271" s="491"/>
      <c r="F271" s="491"/>
      <c r="G271" s="489"/>
      <c r="H271" s="489"/>
    </row>
    <row r="272" spans="1:8" ht="18.75" x14ac:dyDescent="0.3">
      <c r="A272" s="229" t="s">
        <v>191</v>
      </c>
      <c r="B272" s="229"/>
      <c r="C272" s="229"/>
      <c r="D272" s="229"/>
      <c r="E272" s="807" t="str">
        <f>Титул!$B$10</f>
        <v>-</v>
      </c>
      <c r="F272" s="807"/>
      <c r="G272" s="329"/>
      <c r="H272" s="329"/>
    </row>
    <row r="273" spans="1:8" x14ac:dyDescent="0.25">
      <c r="A273" s="491"/>
      <c r="B273" s="491"/>
      <c r="C273" s="491"/>
      <c r="D273" s="491"/>
      <c r="E273" s="808" t="s">
        <v>2</v>
      </c>
      <c r="F273" s="808"/>
      <c r="G273" s="329"/>
      <c r="H273" s="329"/>
    </row>
  </sheetData>
  <sheetProtection password="CF98" sheet="1" formatCells="0" formatColumns="0" formatRows="0" insertColumns="0" insertRows="0" insertHyperlinks="0" deleteColumns="0" deleteRows="0" sort="0" autoFilter="0" pivotTables="0"/>
  <autoFilter ref="A16:Q152">
    <sortState ref="A17:M40">
      <sortCondition ref="A16:A40"/>
    </sortState>
  </autoFilter>
  <sortState ref="A17:H40">
    <sortCondition sortBy="icon" ref="A17:A40"/>
  </sortState>
  <mergeCells count="13">
    <mergeCell ref="E273:F273"/>
    <mergeCell ref="G7:H7"/>
    <mergeCell ref="A9:H9"/>
    <mergeCell ref="B11:H11"/>
    <mergeCell ref="B12:H12"/>
    <mergeCell ref="B13:H13"/>
    <mergeCell ref="B14:H14"/>
    <mergeCell ref="F2:H2"/>
    <mergeCell ref="F5:H5"/>
    <mergeCell ref="E269:F269"/>
    <mergeCell ref="E270:F270"/>
    <mergeCell ref="E272:F272"/>
    <mergeCell ref="F3:H3"/>
  </mergeCells>
  <pageMargins left="0.7" right="0.7" top="0.75" bottom="0.75" header="0.3" footer="0.3"/>
  <pageSetup paperSize="9" scale="53" fitToHeight="0" orientation="landscape" horizontalDpi="300" verticalDpi="300" r:id="rId1"/>
  <colBreaks count="1" manualBreakCount="1">
    <brk id="17" min="1" max="29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R147"/>
  <sheetViews>
    <sheetView zoomScale="80" zoomScaleNormal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O13" sqref="O13:O27"/>
    </sheetView>
  </sheetViews>
  <sheetFormatPr defaultRowHeight="15" x14ac:dyDescent="0.25"/>
  <cols>
    <col min="1" max="1" width="5" style="1" customWidth="1"/>
    <col min="2" max="2" width="27" style="1" customWidth="1"/>
    <col min="3" max="3" width="33" style="1" customWidth="1"/>
    <col min="4" max="4" width="18.7109375" style="1" customWidth="1"/>
    <col min="5" max="5" width="17.28515625" style="25" customWidth="1"/>
    <col min="6" max="6" width="24.28515625" style="1" customWidth="1"/>
    <col min="7" max="7" width="28.85546875" style="1" customWidth="1"/>
    <col min="8" max="8" width="34.28515625" style="41" customWidth="1"/>
    <col min="9" max="9" width="10.42578125" style="1" customWidth="1"/>
    <col min="10" max="10" width="13.140625" style="1" customWidth="1"/>
    <col min="11" max="11" width="22.85546875" style="1" customWidth="1"/>
    <col min="12" max="12" width="30.140625" style="1" customWidth="1"/>
    <col min="13" max="13" width="15.85546875" style="1" customWidth="1"/>
    <col min="14" max="14" width="12.85546875" style="1" customWidth="1"/>
    <col min="15" max="15" width="19.42578125" style="25" customWidth="1"/>
    <col min="16" max="16" width="20.5703125" style="1" customWidth="1"/>
    <col min="17" max="17" width="16.7109375" style="1" bestFit="1" customWidth="1"/>
    <col min="18" max="18" width="12.140625" style="1" bestFit="1" customWidth="1"/>
    <col min="19" max="16384" width="9.140625" style="1"/>
  </cols>
  <sheetData>
    <row r="1" spans="1:18" x14ac:dyDescent="0.25">
      <c r="B1" s="319" t="s">
        <v>123</v>
      </c>
      <c r="C1" s="320" t="s">
        <v>64</v>
      </c>
      <c r="D1" s="320" t="s">
        <v>51</v>
      </c>
      <c r="E1" s="320" t="s">
        <v>52</v>
      </c>
      <c r="F1" s="321" t="s">
        <v>69</v>
      </c>
      <c r="H1" s="322" t="s">
        <v>232</v>
      </c>
      <c r="I1" s="322"/>
      <c r="L1" s="816" t="s">
        <v>317</v>
      </c>
      <c r="M1" s="323" t="s">
        <v>316</v>
      </c>
      <c r="N1" s="324"/>
      <c r="O1" s="324"/>
    </row>
    <row r="2" spans="1:18" ht="18.75" x14ac:dyDescent="0.25">
      <c r="B2" s="325" t="s">
        <v>86</v>
      </c>
      <c r="C2" s="326" t="str">
        <f>IFERROR('Расчет участников НИР'!H11,"0,00")</f>
        <v>0,00</v>
      </c>
      <c r="D2" s="298" t="str">
        <f>IFERROR('Расчет участников НИР'!I11,"0,00")</f>
        <v>0,00</v>
      </c>
      <c r="E2" s="298" t="str">
        <f>IFERROR('Расчет участников НИР'!J11,"0,00")</f>
        <v>0,00</v>
      </c>
      <c r="F2" s="327" t="str">
        <f>IFERROR('Расчет участников НИР'!K11,"0,00")</f>
        <v>0,00</v>
      </c>
      <c r="H2" s="322" t="s">
        <v>116</v>
      </c>
      <c r="I2" s="328" t="s">
        <v>234</v>
      </c>
      <c r="L2" s="816"/>
      <c r="M2" s="329" t="s">
        <v>318</v>
      </c>
      <c r="N2" s="330"/>
      <c r="O2" s="330"/>
    </row>
    <row r="3" spans="1:18" ht="15.75" x14ac:dyDescent="0.25">
      <c r="B3" s="325" t="s">
        <v>87</v>
      </c>
      <c r="C3" s="326" t="str">
        <f>IFERROR('Расчет участников НИР'!H12,"0,00")</f>
        <v>0,00</v>
      </c>
      <c r="D3" s="298" t="str">
        <f>IFERROR('Расчет участников НИР'!I12,"0,00")</f>
        <v>0,00</v>
      </c>
      <c r="E3" s="298" t="str">
        <f>IFERROR('Расчет участников НИР'!J12,"0,00")</f>
        <v>0,00</v>
      </c>
      <c r="F3" s="327" t="str">
        <f>IFERROR('Расчет участников НИР'!K12,"0,00")</f>
        <v>0,00</v>
      </c>
      <c r="H3" s="322" t="s">
        <v>265</v>
      </c>
      <c r="I3" s="328" t="s">
        <v>234</v>
      </c>
      <c r="L3" s="816"/>
      <c r="M3" s="329" t="s">
        <v>320</v>
      </c>
      <c r="N3" s="331"/>
      <c r="O3" s="332"/>
    </row>
    <row r="4" spans="1:18" ht="15.75" customHeight="1" thickBot="1" x14ac:dyDescent="0.3">
      <c r="B4" s="333" t="s">
        <v>122</v>
      </c>
      <c r="C4" s="334" t="str">
        <f>IFERROR('Расчет участников НИР'!S11,"0,00")</f>
        <v>0,00</v>
      </c>
      <c r="D4" s="335" t="str">
        <f>IFERROR('Расчет участников НИР'!T11,"0,00")</f>
        <v>0,00</v>
      </c>
      <c r="E4" s="335" t="str">
        <f>IFERROR('Расчет участников НИР'!U11,"0,00")</f>
        <v>0,00</v>
      </c>
      <c r="F4" s="336" t="str">
        <f>IFERROR('Расчет участников НИР'!V11,"0,00")</f>
        <v>0,00</v>
      </c>
      <c r="H4" s="322" t="s">
        <v>116</v>
      </c>
      <c r="I4" s="436" t="s">
        <v>397</v>
      </c>
      <c r="L4" s="816"/>
      <c r="M4" s="329" t="s">
        <v>319</v>
      </c>
    </row>
    <row r="5" spans="1:18" x14ac:dyDescent="0.25">
      <c r="B5" s="337" t="s">
        <v>209</v>
      </c>
      <c r="C5" s="338">
        <f>ROUND(C4*Расценка!$T$20,2)</f>
        <v>0</v>
      </c>
      <c r="D5" s="339">
        <f>ROUND(D4*Расценка!$T$20,2)</f>
        <v>0</v>
      </c>
      <c r="E5" s="339">
        <f>ROUND(E4*Расценка!$T$20,2)</f>
        <v>0</v>
      </c>
      <c r="F5" s="340">
        <f>ROUND(F4*Расценка!$T$20,2)</f>
        <v>0</v>
      </c>
      <c r="H5" s="341"/>
      <c r="I5" s="329"/>
    </row>
    <row r="6" spans="1:18" ht="15.75" thickBot="1" x14ac:dyDescent="0.3">
      <c r="B6" s="342"/>
      <c r="C6" s="343">
        <f>SUM(D6:F6)</f>
        <v>0</v>
      </c>
      <c r="D6" s="344" t="str">
        <f>IFERROR(D5/$C$5,"0%")</f>
        <v>0%</v>
      </c>
      <c r="E6" s="344" t="str">
        <f>IFERROR(E5/$C$5,"0%")</f>
        <v>0%</v>
      </c>
      <c r="F6" s="345" t="str">
        <f>IFERROR(F5/$C$5,"0%")</f>
        <v>0%</v>
      </c>
      <c r="I6" s="341"/>
      <c r="J6" s="329"/>
    </row>
    <row r="7" spans="1:18" ht="22.5" x14ac:dyDescent="0.25">
      <c r="A7" s="786" t="s">
        <v>282</v>
      </c>
      <c r="B7" s="786"/>
      <c r="C7" s="786"/>
      <c r="D7" s="786"/>
      <c r="E7" s="786"/>
      <c r="F7" s="786"/>
      <c r="G7" s="786"/>
    </row>
    <row r="8" spans="1:18" s="229" customFormat="1" ht="34.5" customHeight="1" x14ac:dyDescent="0.3">
      <c r="A8" s="793" t="s">
        <v>0</v>
      </c>
      <c r="B8" s="793" t="s">
        <v>2</v>
      </c>
      <c r="C8" s="822" t="s">
        <v>37</v>
      </c>
      <c r="D8" s="822"/>
      <c r="E8" s="822"/>
      <c r="F8" s="822"/>
      <c r="G8" s="591" t="s">
        <v>38</v>
      </c>
      <c r="H8" s="817" t="s">
        <v>220</v>
      </c>
      <c r="I8" s="818"/>
      <c r="J8" s="818"/>
      <c r="K8" s="819"/>
      <c r="L8" s="813" t="s">
        <v>238</v>
      </c>
      <c r="M8" s="814"/>
      <c r="N8" s="814"/>
      <c r="O8" s="814"/>
      <c r="P8" s="815"/>
    </row>
    <row r="9" spans="1:18" s="229" customFormat="1" ht="75" x14ac:dyDescent="0.3">
      <c r="A9" s="794"/>
      <c r="B9" s="794"/>
      <c r="C9" s="590" t="s">
        <v>88</v>
      </c>
      <c r="D9" s="590" t="s">
        <v>448</v>
      </c>
      <c r="E9" s="590" t="s">
        <v>117</v>
      </c>
      <c r="F9" s="590" t="s">
        <v>127</v>
      </c>
      <c r="G9" s="590" t="s">
        <v>7</v>
      </c>
      <c r="H9" s="346" t="s">
        <v>76</v>
      </c>
      <c r="I9" s="346" t="s">
        <v>116</v>
      </c>
      <c r="J9" s="346" t="s">
        <v>119</v>
      </c>
      <c r="K9" s="346" t="s">
        <v>118</v>
      </c>
      <c r="L9" s="633" t="s">
        <v>219</v>
      </c>
      <c r="M9" s="633" t="s">
        <v>41</v>
      </c>
      <c r="N9" s="633" t="s">
        <v>119</v>
      </c>
      <c r="O9" s="633" t="s">
        <v>130</v>
      </c>
      <c r="P9" s="633" t="s">
        <v>118</v>
      </c>
    </row>
    <row r="10" spans="1:18" s="229" customFormat="1" ht="18.75" x14ac:dyDescent="0.3">
      <c r="A10" s="820" t="s">
        <v>89</v>
      </c>
      <c r="B10" s="821"/>
      <c r="C10" s="821"/>
      <c r="D10" s="821"/>
      <c r="E10" s="821"/>
      <c r="F10" s="821"/>
      <c r="G10" s="821"/>
      <c r="H10" s="347"/>
      <c r="I10" s="348">
        <f>$C$4-I11</f>
        <v>0</v>
      </c>
      <c r="J10" s="348">
        <f>C5-J11</f>
        <v>0</v>
      </c>
      <c r="K10" s="348">
        <f>ROUND($C$2+$C$3-Распределение!K11-Распределение!K12,2)</f>
        <v>0</v>
      </c>
      <c r="L10" s="634"/>
      <c r="M10" s="634">
        <f>C4-Распределение!M11</f>
        <v>0</v>
      </c>
      <c r="N10" s="634">
        <f>C5-N11</f>
        <v>0</v>
      </c>
      <c r="O10" s="634"/>
      <c r="P10" s="634">
        <f>ROUND(($C$2+$C$3)-(Распределение!P11+Распределение!P12),2)</f>
        <v>0</v>
      </c>
      <c r="Q10" s="420"/>
    </row>
    <row r="11" spans="1:18" s="229" customFormat="1" ht="18.75" x14ac:dyDescent="0.3">
      <c r="A11" s="820" t="s">
        <v>120</v>
      </c>
      <c r="B11" s="821"/>
      <c r="C11" s="821"/>
      <c r="D11" s="821"/>
      <c r="E11" s="821"/>
      <c r="F11" s="821"/>
      <c r="G11" s="821"/>
      <c r="H11" s="347"/>
      <c r="I11" s="348">
        <f>SUM(I13:I112)</f>
        <v>0</v>
      </c>
      <c r="J11" s="348">
        <f>SUM(J13:J112)</f>
        <v>0</v>
      </c>
      <c r="K11" s="348">
        <f>ROUND(SUM(K13:K112),2)</f>
        <v>0</v>
      </c>
      <c r="L11" s="634"/>
      <c r="M11" s="634">
        <f>SUM(M13:M112)</f>
        <v>0</v>
      </c>
      <c r="N11" s="634">
        <f>SUM(N13:N112)</f>
        <v>0</v>
      </c>
      <c r="O11" s="634"/>
      <c r="P11" s="634">
        <f>ROUND(SUM(P13:P112),2)</f>
        <v>0</v>
      </c>
    </row>
    <row r="12" spans="1:18" s="229" customFormat="1" ht="18.75" x14ac:dyDescent="0.3">
      <c r="A12" s="820" t="s">
        <v>121</v>
      </c>
      <c r="B12" s="821"/>
      <c r="C12" s="821"/>
      <c r="D12" s="821"/>
      <c r="E12" s="821"/>
      <c r="F12" s="821"/>
      <c r="G12" s="821"/>
      <c r="H12" s="347"/>
      <c r="I12" s="348"/>
      <c r="J12" s="348"/>
      <c r="K12" s="348">
        <f>ROUND(K11*0.302,2)</f>
        <v>0</v>
      </c>
      <c r="L12" s="634"/>
      <c r="M12" s="635"/>
      <c r="N12" s="636"/>
      <c r="O12" s="637"/>
      <c r="P12" s="634">
        <f>ROUND(P11*0.302,2)</f>
        <v>0</v>
      </c>
    </row>
    <row r="13" spans="1:18" ht="18.75" x14ac:dyDescent="0.3">
      <c r="A13" s="247">
        <v>1</v>
      </c>
      <c r="B13" s="349">
        <f>'Состав ВТК'!$B9</f>
        <v>0</v>
      </c>
      <c r="C13" s="349" t="str">
        <f>IFERROR(VLOOKUP($B13,'Состав ВТК'!$B$9:$J$109,3,FALSE),"-")</f>
        <v>-</v>
      </c>
      <c r="D13" s="247" t="str">
        <f>IFERROR(VLOOKUP($B13,'Состав ВТК'!$B$9:$J$109,7,FALSE),"-")</f>
        <v>-</v>
      </c>
      <c r="E13" s="247" t="str">
        <f>IFERROR(VLOOKUP($B13,'Состав ВТК'!$B$9:$J$109,8,FALSE),"-")</f>
        <v>-</v>
      </c>
      <c r="F13" s="247" t="str">
        <f>IFERROR(VLOOKUP($B13,'Состав ВТК'!$B$9:$G$109,6,FALSE),"-")</f>
        <v>-</v>
      </c>
      <c r="G13" s="247" t="str">
        <f>IFERROR(VLOOKUP($B13,'Состав ВТК'!$B$9:$J$109,9,FALSE),"-")</f>
        <v>-</v>
      </c>
      <c r="H13" s="350" t="str">
        <f>IFERROR(VLOOKUP($C13,Расценка!$N$3:$O$543,2,FALSE),"-")</f>
        <v>-</v>
      </c>
      <c r="I13" s="351">
        <f>IFERROR(SUMIFS('Трудозатраты членов ВТК'!$G$17:$G$117,'Трудозатраты членов ВТК'!$D$17:$D$117,B:B),"-")</f>
        <v>0</v>
      </c>
      <c r="J13" s="351">
        <f>IFERROR(SUMIFS('Трудозатраты членов ВТК'!$F$464:$F$713,'Трудозатраты членов ВТК'!$D$464:$D$713,B:B),"-")</f>
        <v>0</v>
      </c>
      <c r="K13" s="351" t="str">
        <f>IFERROR(ROUND($J13*VLOOKUP($H13,Расценка!$C$3:$E$12,3,FALSE),2),"-")</f>
        <v>-</v>
      </c>
      <c r="L13" s="638"/>
      <c r="M13" s="351">
        <f>IFERROR(SUMIFS('Трудозатраты членов ВТК'!$G$17:$G$117,'Трудозатраты членов ВТК'!$D$17:$D$117,B:B),"-")</f>
        <v>0</v>
      </c>
      <c r="N13" s="351">
        <f>IFERROR(SUMIFS('Трудозатраты членов ВТК'!$F$464:$F$713,'Трудозатраты членов ВТК'!$D$464:$D$713,B:B),"-")</f>
        <v>0</v>
      </c>
      <c r="O13" s="639"/>
      <c r="P13" s="351">
        <f>IFERROR(ROUND(IF('Состав ВТК'!$K9=справочник!$A$5,$N13*VLOOKUP($L13,Расценка!$C$3:$E$12,3,FALSE)*$O13,0),2),"-")</f>
        <v>0</v>
      </c>
      <c r="Q13" s="229"/>
      <c r="R13" s="232"/>
    </row>
    <row r="14" spans="1:18" ht="18.75" x14ac:dyDescent="0.3">
      <c r="A14" s="247">
        <v>2</v>
      </c>
      <c r="B14" s="349">
        <f>'Состав ВТК'!$B10</f>
        <v>0</v>
      </c>
      <c r="C14" s="349" t="str">
        <f>IFERROR(VLOOKUP($B14,'Состав ВТК'!$B$9:$J$109,3,FALSE),"-")</f>
        <v>-</v>
      </c>
      <c r="D14" s="247" t="str">
        <f>IFERROR(VLOOKUP($B14,'Состав ВТК'!$B$9:$J$109,7,FALSE),"-")</f>
        <v>-</v>
      </c>
      <c r="E14" s="247" t="str">
        <f>IFERROR(VLOOKUP($B14,'Состав ВТК'!$B$9:$J$109,8,FALSE),"-")</f>
        <v>-</v>
      </c>
      <c r="F14" s="247" t="str">
        <f>IFERROR(VLOOKUP($B14,'Состав ВТК'!$B$9:$G$109,6,FALSE),"-")</f>
        <v>-</v>
      </c>
      <c r="G14" s="247" t="str">
        <f>IFERROR(VLOOKUP($B14,'Состав ВТК'!$B$9:$J$109,9,FALSE),"-")</f>
        <v>-</v>
      </c>
      <c r="H14" s="350" t="str">
        <f>IFERROR(VLOOKUP($C14,Расценка!$N$3:$O$543,2,FALSE),"-")</f>
        <v>-</v>
      </c>
      <c r="I14" s="351">
        <f>IFERROR(SUMIFS('Трудозатраты членов ВТК'!$G$17:$G$117,'Трудозатраты членов ВТК'!$D$17:$D$117,B:B),"-")</f>
        <v>0</v>
      </c>
      <c r="J14" s="351">
        <f>IFERROR(SUMIFS('Трудозатраты членов ВТК'!$F$464:$F$713,'Трудозатраты членов ВТК'!$D$464:$D$713,B:B),"-")</f>
        <v>0</v>
      </c>
      <c r="K14" s="351" t="str">
        <f>IFERROR(ROUND($J14*VLOOKUP($H14,Расценка!$C$3:$E$12,3,FALSE),2),"-")</f>
        <v>-</v>
      </c>
      <c r="L14" s="638"/>
      <c r="M14" s="351">
        <f>IFERROR(SUMIFS('Трудозатраты членов ВТК'!$G$17:$G$117,'Трудозатраты членов ВТК'!$D$17:$D$117,B:B),"-")</f>
        <v>0</v>
      </c>
      <c r="N14" s="351">
        <f>IFERROR(SUMIFS('Трудозатраты членов ВТК'!$F$464:$F$713,'Трудозатраты членов ВТК'!$D$464:$D$713,B:B),"-")</f>
        <v>0</v>
      </c>
      <c r="O14" s="639"/>
      <c r="P14" s="351">
        <f>IFERROR(ROUND(IF('Состав ВТК'!$K10=справочник!$A$5,$N14*VLOOKUP($L14,Расценка!$C$3:$E$12,3,FALSE)*$O14,0),2),"-")</f>
        <v>0</v>
      </c>
      <c r="Q14" s="229"/>
    </row>
    <row r="15" spans="1:18" ht="18.75" x14ac:dyDescent="0.3">
      <c r="A15" s="247">
        <v>3</v>
      </c>
      <c r="B15" s="349">
        <f>'Состав ВТК'!$B11</f>
        <v>0</v>
      </c>
      <c r="C15" s="349" t="str">
        <f>IFERROR(VLOOKUP($B15,'Состав ВТК'!$B$9:$J$109,3,FALSE),"-")</f>
        <v>-</v>
      </c>
      <c r="D15" s="247" t="str">
        <f>IFERROR(VLOOKUP($B15,'Состав ВТК'!$B$9:$J$109,7,FALSE),"-")</f>
        <v>-</v>
      </c>
      <c r="E15" s="247" t="str">
        <f>IFERROR(VLOOKUP($B15,'Состав ВТК'!$B$9:$J$109,8,FALSE),"-")</f>
        <v>-</v>
      </c>
      <c r="F15" s="247" t="str">
        <f>IFERROR(VLOOKUP($B15,'Состав ВТК'!$B$9:$G$109,6,FALSE),"-")</f>
        <v>-</v>
      </c>
      <c r="G15" s="247" t="str">
        <f>IFERROR(VLOOKUP($B15,'Состав ВТК'!$B$9:$J$109,9,FALSE),"-")</f>
        <v>-</v>
      </c>
      <c r="H15" s="350" t="str">
        <f>IFERROR(VLOOKUP($C15,Расценка!$N$3:$O$543,2,FALSE),"-")</f>
        <v>-</v>
      </c>
      <c r="I15" s="351">
        <f>IFERROR(SUMIFS('Трудозатраты членов ВТК'!$G$17:$G$117,'Трудозатраты членов ВТК'!$D$17:$D$117,B:B),"-")</f>
        <v>0</v>
      </c>
      <c r="J15" s="351">
        <f>IFERROR(SUMIFS('Трудозатраты членов ВТК'!$F$464:$F$713,'Трудозатраты членов ВТК'!$D$464:$D$713,B:B),"-")</f>
        <v>0</v>
      </c>
      <c r="K15" s="351" t="str">
        <f>IFERROR(ROUND($J15*VLOOKUP($H15,Расценка!$C$3:$E$12,3,FALSE),2),"-")</f>
        <v>-</v>
      </c>
      <c r="L15" s="638"/>
      <c r="M15" s="351">
        <f>IFERROR(SUMIFS('Трудозатраты членов ВТК'!$G$17:$G$117,'Трудозатраты членов ВТК'!$D$17:$D$117,B:B),"-")</f>
        <v>0</v>
      </c>
      <c r="N15" s="351">
        <f>IFERROR(SUMIFS('Трудозатраты членов ВТК'!$F$464:$F$713,'Трудозатраты членов ВТК'!$D$464:$D$713,B:B),"-")</f>
        <v>0</v>
      </c>
      <c r="O15" s="639"/>
      <c r="P15" s="351">
        <f>IFERROR(ROUND(IF('Состав ВТК'!$K11=справочник!$A$5,$N15*VLOOKUP($L15,Расценка!$C$3:$E$12,3,FALSE)*$O15,0),2),"-")</f>
        <v>0</v>
      </c>
      <c r="Q15" s="229"/>
      <c r="R15" s="232"/>
    </row>
    <row r="16" spans="1:18" ht="18.75" x14ac:dyDescent="0.3">
      <c r="A16" s="247">
        <v>4</v>
      </c>
      <c r="B16" s="349">
        <f>'Состав ВТК'!$B12</f>
        <v>0</v>
      </c>
      <c r="C16" s="349" t="str">
        <f>IFERROR(VLOOKUP($B16,'Состав ВТК'!$B$9:$J$109,3,FALSE),"-")</f>
        <v>-</v>
      </c>
      <c r="D16" s="247" t="str">
        <f>IFERROR(VLOOKUP($B16,'Состав ВТК'!$B$9:$J$109,7,FALSE),"-")</f>
        <v>-</v>
      </c>
      <c r="E16" s="247" t="str">
        <f>IFERROR(VLOOKUP($B16,'Состав ВТК'!$B$9:$J$109,8,FALSE),"-")</f>
        <v>-</v>
      </c>
      <c r="F16" s="247" t="str">
        <f>IFERROR(VLOOKUP($B16,'Состав ВТК'!$B$9:$G$109,6,FALSE),"-")</f>
        <v>-</v>
      </c>
      <c r="G16" s="247" t="str">
        <f>IFERROR(VLOOKUP($B16,'Состав ВТК'!$B$9:$J$109,9,FALSE),"-")</f>
        <v>-</v>
      </c>
      <c r="H16" s="350" t="str">
        <f>IFERROR(VLOOKUP($C16,Расценка!$N$3:$O$543,2,FALSE),"-")</f>
        <v>-</v>
      </c>
      <c r="I16" s="351">
        <f>IFERROR(SUMIFS('Трудозатраты членов ВТК'!$G$17:$G$117,'Трудозатраты членов ВТК'!$D$17:$D$117,B:B),"-")</f>
        <v>0</v>
      </c>
      <c r="J16" s="351">
        <f>IFERROR(SUMIFS('Трудозатраты членов ВТК'!$F$464:$F$713,'Трудозатраты членов ВТК'!$D$464:$D$713,B:B),"-")</f>
        <v>0</v>
      </c>
      <c r="K16" s="351" t="str">
        <f>IFERROR(ROUND($J16*VLOOKUP($H16,Расценка!$C$3:$E$12,3,FALSE),2),"-")</f>
        <v>-</v>
      </c>
      <c r="L16" s="638"/>
      <c r="M16" s="351">
        <f>IFERROR(SUMIFS('Трудозатраты членов ВТК'!$G$17:$G$117,'Трудозатраты членов ВТК'!$D$17:$D$117,B:B),"-")</f>
        <v>0</v>
      </c>
      <c r="N16" s="351">
        <f>IFERROR(SUMIFS('Трудозатраты членов ВТК'!$F$464:$F$713,'Трудозатраты членов ВТК'!$D$464:$D$713,B:B),"-")</f>
        <v>0</v>
      </c>
      <c r="O16" s="639"/>
      <c r="P16" s="351">
        <f>IFERROR(ROUND(IF('Состав ВТК'!$K12=справочник!$A$5,$N16*VLOOKUP($L16,Расценка!$C$3:$E$12,3,FALSE)*$O16,0),2),"-")</f>
        <v>0</v>
      </c>
      <c r="Q16" s="229"/>
    </row>
    <row r="17" spans="1:18" ht="18.75" x14ac:dyDescent="0.3">
      <c r="A17" s="247">
        <v>5</v>
      </c>
      <c r="B17" s="349">
        <f>'Состав ВТК'!$B13</f>
        <v>0</v>
      </c>
      <c r="C17" s="349" t="str">
        <f>IFERROR(VLOOKUP($B17,'Состав ВТК'!$B$9:$J$109,3,FALSE),"-")</f>
        <v>-</v>
      </c>
      <c r="D17" s="247" t="str">
        <f>IFERROR(VLOOKUP($B17,'Состав ВТК'!$B$9:$J$109,7,FALSE),"-")</f>
        <v>-</v>
      </c>
      <c r="E17" s="247" t="str">
        <f>IFERROR(VLOOKUP($B17,'Состав ВТК'!$B$9:$J$109,8,FALSE),"-")</f>
        <v>-</v>
      </c>
      <c r="F17" s="247" t="str">
        <f>IFERROR(VLOOKUP($B17,'Состав ВТК'!$B$9:$G$109,6,FALSE),"-")</f>
        <v>-</v>
      </c>
      <c r="G17" s="247" t="str">
        <f>IFERROR(VLOOKUP($B17,'Состав ВТК'!$B$9:$J$109,9,FALSE),"-")</f>
        <v>-</v>
      </c>
      <c r="H17" s="350" t="str">
        <f>IFERROR(VLOOKUP($C17,Расценка!$N$3:$O$543,2,FALSE),"-")</f>
        <v>-</v>
      </c>
      <c r="I17" s="351">
        <f>IFERROR(SUMIFS('Трудозатраты членов ВТК'!$G$17:$G$117,'Трудозатраты членов ВТК'!$D$17:$D$117,B:B),"-")</f>
        <v>0</v>
      </c>
      <c r="J17" s="351">
        <f>IFERROR(SUMIFS('Трудозатраты членов ВТК'!$F$464:$F$713,'Трудозатраты членов ВТК'!$D$464:$D$713,B:B),"-")</f>
        <v>0</v>
      </c>
      <c r="K17" s="351" t="str">
        <f>IFERROR(ROUND($J17*VLOOKUP($H17,Расценка!$C$3:$E$12,3,FALSE),2),"-")</f>
        <v>-</v>
      </c>
      <c r="L17" s="638"/>
      <c r="M17" s="351">
        <f>IFERROR(SUMIFS('Трудозатраты членов ВТК'!$G$17:$G$117,'Трудозатраты членов ВТК'!$D$17:$D$117,B:B),"-")</f>
        <v>0</v>
      </c>
      <c r="N17" s="351">
        <f>IFERROR(SUMIFS('Трудозатраты членов ВТК'!$F$464:$F$713,'Трудозатраты членов ВТК'!$D$464:$D$713,B:B),"-")</f>
        <v>0</v>
      </c>
      <c r="O17" s="639"/>
      <c r="P17" s="351">
        <f>IFERROR(ROUND(IF('Состав ВТК'!$K13=справочник!$A$5,$N17*VLOOKUP($L17,Расценка!$C$3:$E$12,3,FALSE)*$O17,0),2),"-")</f>
        <v>0</v>
      </c>
      <c r="Q17" s="229"/>
    </row>
    <row r="18" spans="1:18" ht="18.75" x14ac:dyDescent="0.3">
      <c r="A18" s="247">
        <v>6</v>
      </c>
      <c r="B18" s="349">
        <f>'Состав ВТК'!$B14</f>
        <v>0</v>
      </c>
      <c r="C18" s="349" t="str">
        <f>IFERROR(VLOOKUP($B18,'Состав ВТК'!$B$9:$J$109,3,FALSE),"-")</f>
        <v>-</v>
      </c>
      <c r="D18" s="247" t="str">
        <f>IFERROR(VLOOKUP($B18,'Состав ВТК'!$B$9:$J$109,7,FALSE),"-")</f>
        <v>-</v>
      </c>
      <c r="E18" s="247" t="str">
        <f>IFERROR(VLOOKUP($B18,'Состав ВТК'!$B$9:$J$109,8,FALSE),"-")</f>
        <v>-</v>
      </c>
      <c r="F18" s="247" t="str">
        <f>IFERROR(VLOOKUP($B18,'Состав ВТК'!$B$9:$G$109,6,FALSE),"-")</f>
        <v>-</v>
      </c>
      <c r="G18" s="247" t="str">
        <f>IFERROR(VLOOKUP($B18,'Состав ВТК'!$B$9:$J$109,9,FALSE),"-")</f>
        <v>-</v>
      </c>
      <c r="H18" s="350" t="str">
        <f>IFERROR(VLOOKUP($C18,Расценка!$N$3:$O$543,2,FALSE),"-")</f>
        <v>-</v>
      </c>
      <c r="I18" s="351">
        <f>IFERROR(SUMIFS('Трудозатраты членов ВТК'!$G$17:$G$117,'Трудозатраты членов ВТК'!$D$17:$D$117,B:B),"-")</f>
        <v>0</v>
      </c>
      <c r="J18" s="351">
        <f>IFERROR(SUMIFS('Трудозатраты членов ВТК'!$F$464:$F$713,'Трудозатраты членов ВТК'!$D$464:$D$713,B:B),"-")</f>
        <v>0</v>
      </c>
      <c r="K18" s="351" t="str">
        <f>IFERROR(ROUND($J18*VLOOKUP($H18,Расценка!$C$3:$E$12,3,FALSE),2),"-")</f>
        <v>-</v>
      </c>
      <c r="L18" s="638"/>
      <c r="M18" s="351">
        <f>IFERROR(SUMIFS('Трудозатраты членов ВТК'!$G$17:$G$117,'Трудозатраты членов ВТК'!$D$17:$D$117,B:B),"-")</f>
        <v>0</v>
      </c>
      <c r="N18" s="351">
        <f>IFERROR(SUMIFS('Трудозатраты членов ВТК'!$F$464:$F$713,'Трудозатраты членов ВТК'!$D$464:$D$713,B:B),"-")</f>
        <v>0</v>
      </c>
      <c r="O18" s="639"/>
      <c r="P18" s="351">
        <f>IFERROR(ROUND(IF('Состав ВТК'!$K14=справочник!$A$5,$N18*VLOOKUP($L18,Расценка!$C$3:$E$12,3,FALSE)*$O18,0),2),"-")</f>
        <v>0</v>
      </c>
      <c r="Q18" s="229"/>
    </row>
    <row r="19" spans="1:18" ht="18.75" x14ac:dyDescent="0.3">
      <c r="A19" s="247">
        <v>7</v>
      </c>
      <c r="B19" s="349">
        <f>'Состав ВТК'!$B15</f>
        <v>0</v>
      </c>
      <c r="C19" s="349" t="str">
        <f>IFERROR(VLOOKUP($B19,'Состав ВТК'!$B$9:$J$109,3,FALSE),"-")</f>
        <v>-</v>
      </c>
      <c r="D19" s="247" t="str">
        <f>IFERROR(VLOOKUP($B19,'Состав ВТК'!$B$9:$J$109,7,FALSE),"-")</f>
        <v>-</v>
      </c>
      <c r="E19" s="247" t="str">
        <f>IFERROR(VLOOKUP($B19,'Состав ВТК'!$B$9:$J$109,8,FALSE),"-")</f>
        <v>-</v>
      </c>
      <c r="F19" s="247" t="str">
        <f>IFERROR(VLOOKUP($B19,'Состав ВТК'!$B$9:$G$109,6,FALSE),"-")</f>
        <v>-</v>
      </c>
      <c r="G19" s="247" t="str">
        <f>IFERROR(VLOOKUP($B19,'Состав ВТК'!$B$9:$J$109,9,FALSE),"-")</f>
        <v>-</v>
      </c>
      <c r="H19" s="350" t="str">
        <f>IFERROR(VLOOKUP($C19,Расценка!$N$3:$O$543,2,FALSE),"-")</f>
        <v>-</v>
      </c>
      <c r="I19" s="351">
        <f>IFERROR(SUMIFS('Трудозатраты членов ВТК'!$G$17:$G$117,'Трудозатраты членов ВТК'!$D$17:$D$117,B:B),"-")</f>
        <v>0</v>
      </c>
      <c r="J19" s="351">
        <f>IFERROR(SUMIFS('Трудозатраты членов ВТК'!$F$464:$F$713,'Трудозатраты членов ВТК'!$D$464:$D$713,B:B),"-")</f>
        <v>0</v>
      </c>
      <c r="K19" s="351" t="str">
        <f>IFERROR(ROUND($J19*VLOOKUP($H19,Расценка!$C$3:$E$12,3,FALSE),2),"-")</f>
        <v>-</v>
      </c>
      <c r="L19" s="638"/>
      <c r="M19" s="351">
        <f>IFERROR(SUMIFS('Трудозатраты членов ВТК'!$G$17:$G$117,'Трудозатраты членов ВТК'!$D$17:$D$117,B:B),"-")</f>
        <v>0</v>
      </c>
      <c r="N19" s="351">
        <f>IFERROR(SUMIFS('Трудозатраты членов ВТК'!$F$464:$F$713,'Трудозатраты членов ВТК'!$D$464:$D$713,B:B),"-")</f>
        <v>0</v>
      </c>
      <c r="O19" s="639"/>
      <c r="P19" s="351">
        <f>IFERROR(ROUND(IF('Состав ВТК'!$K15=справочник!$A$5,$N19*VLOOKUP($L19,Расценка!$C$3:$E$12,3,FALSE)*$O19,0),2),"-")</f>
        <v>0</v>
      </c>
      <c r="Q19" s="229"/>
      <c r="R19" s="232"/>
    </row>
    <row r="20" spans="1:18" ht="18.75" x14ac:dyDescent="0.3">
      <c r="A20" s="247">
        <v>8</v>
      </c>
      <c r="B20" s="349">
        <f>'Состав ВТК'!$B16</f>
        <v>0</v>
      </c>
      <c r="C20" s="349" t="str">
        <f>IFERROR(VLOOKUP($B20,'Состав ВТК'!$B$9:$J$109,3,FALSE),"-")</f>
        <v>-</v>
      </c>
      <c r="D20" s="247" t="str">
        <f>IFERROR(VLOOKUP($B20,'Состав ВТК'!$B$9:$J$109,7,FALSE),"-")</f>
        <v>-</v>
      </c>
      <c r="E20" s="247" t="str">
        <f>IFERROR(VLOOKUP($B20,'Состав ВТК'!$B$9:$J$109,8,FALSE),"-")</f>
        <v>-</v>
      </c>
      <c r="F20" s="247" t="str">
        <f>IFERROR(VLOOKUP($B20,'Состав ВТК'!$B$9:$G$109,6,FALSE),"-")</f>
        <v>-</v>
      </c>
      <c r="G20" s="247" t="str">
        <f>IFERROR(VLOOKUP($B20,'Состав ВТК'!$B$9:$J$109,9,FALSE),"-")</f>
        <v>-</v>
      </c>
      <c r="H20" s="350" t="str">
        <f>IFERROR(VLOOKUP($C20,Расценка!$N$3:$O$543,2,FALSE),"-")</f>
        <v>-</v>
      </c>
      <c r="I20" s="351">
        <f>IFERROR(SUMIFS('Трудозатраты членов ВТК'!$G$17:$G$117,'Трудозатраты членов ВТК'!$D$17:$D$117,B:B),"-")</f>
        <v>0</v>
      </c>
      <c r="J20" s="351">
        <f>IFERROR(SUMIFS('Трудозатраты членов ВТК'!$F$464:$F$713,'Трудозатраты членов ВТК'!$D$464:$D$713,B:B),"-")</f>
        <v>0</v>
      </c>
      <c r="K20" s="351" t="str">
        <f>IFERROR(ROUND($J20*VLOOKUP($H20,Расценка!$C$3:$E$12,3,FALSE),2),"-")</f>
        <v>-</v>
      </c>
      <c r="L20" s="638"/>
      <c r="M20" s="351">
        <f>IFERROR(SUMIFS('Трудозатраты членов ВТК'!$G$17:$G$117,'Трудозатраты членов ВТК'!$D$17:$D$117,B:B),"-")</f>
        <v>0</v>
      </c>
      <c r="N20" s="351">
        <f>IFERROR(SUMIFS('Трудозатраты членов ВТК'!$F$464:$F$713,'Трудозатраты членов ВТК'!$D$464:$D$713,B:B),"-")</f>
        <v>0</v>
      </c>
      <c r="O20" s="639"/>
      <c r="P20" s="351">
        <f>IFERROR(ROUND(IF('Состав ВТК'!$K16=справочник!$A$5,$N20*VLOOKUP($L20,Расценка!$C$3:$E$12,3,FALSE)*$O20,0),2),"-")</f>
        <v>0</v>
      </c>
      <c r="Q20" s="229"/>
    </row>
    <row r="21" spans="1:18" ht="18.75" x14ac:dyDescent="0.3">
      <c r="A21" s="247">
        <v>9</v>
      </c>
      <c r="B21" s="349">
        <f>'Состав ВТК'!$B17</f>
        <v>0</v>
      </c>
      <c r="C21" s="349" t="str">
        <f>IFERROR(VLOOKUP($B21,'Состав ВТК'!$B$9:$J$109,3,FALSE),"-")</f>
        <v>-</v>
      </c>
      <c r="D21" s="247" t="str">
        <f>IFERROR(VLOOKUP($B21,'Состав ВТК'!$B$9:$J$109,7,FALSE),"-")</f>
        <v>-</v>
      </c>
      <c r="E21" s="247" t="str">
        <f>IFERROR(VLOOKUP($B21,'Состав ВТК'!$B$9:$J$109,8,FALSE),"-")</f>
        <v>-</v>
      </c>
      <c r="F21" s="247" t="str">
        <f>IFERROR(VLOOKUP($B21,'Состав ВТК'!$B$9:$G$109,6,FALSE),"-")</f>
        <v>-</v>
      </c>
      <c r="G21" s="247" t="str">
        <f>IFERROR(VLOOKUP($B21,'Состав ВТК'!$B$9:$J$109,9,FALSE),"-")</f>
        <v>-</v>
      </c>
      <c r="H21" s="350" t="str">
        <f>IFERROR(VLOOKUP($C21,Расценка!$N$3:$O$543,2,FALSE),"-")</f>
        <v>-</v>
      </c>
      <c r="I21" s="351">
        <f>IFERROR(SUMIFS('Трудозатраты членов ВТК'!$G$17:$G$117,'Трудозатраты членов ВТК'!$D$17:$D$117,B:B),"-")</f>
        <v>0</v>
      </c>
      <c r="J21" s="351">
        <f>IFERROR(SUMIFS('Трудозатраты членов ВТК'!$F$464:$F$713,'Трудозатраты членов ВТК'!$D$464:$D$713,B:B),"-")</f>
        <v>0</v>
      </c>
      <c r="K21" s="351" t="str">
        <f>IFERROR(ROUND($J21*VLOOKUP($H21,Расценка!$C$3:$E$12,3,FALSE),2),"-")</f>
        <v>-</v>
      </c>
      <c r="L21" s="638"/>
      <c r="M21" s="351">
        <f>IFERROR(SUMIFS('Трудозатраты членов ВТК'!$G$17:$G$117,'Трудозатраты членов ВТК'!$D$17:$D$117,B:B),"-")</f>
        <v>0</v>
      </c>
      <c r="N21" s="351">
        <f>IFERROR(SUMIFS('Трудозатраты членов ВТК'!$F$464:$F$713,'Трудозатраты членов ВТК'!$D$464:$D$713,B:B),"-")</f>
        <v>0</v>
      </c>
      <c r="O21" s="639"/>
      <c r="P21" s="351">
        <f>IFERROR(ROUND(IF('Состав ВТК'!$K17=справочник!$A$5,$N21*VLOOKUP($L21,Расценка!$C$3:$E$12,3,FALSE)*$O21,0),2),"-")</f>
        <v>0</v>
      </c>
      <c r="Q21" s="229"/>
    </row>
    <row r="22" spans="1:18" ht="18.75" x14ac:dyDescent="0.3">
      <c r="A22" s="247">
        <v>10</v>
      </c>
      <c r="B22" s="349">
        <f>'Состав ВТК'!$B18</f>
        <v>0</v>
      </c>
      <c r="C22" s="349" t="str">
        <f>IFERROR(VLOOKUP($B22,'Состав ВТК'!$B$9:$J$109,3,FALSE),"-")</f>
        <v>-</v>
      </c>
      <c r="D22" s="247" t="str">
        <f>IFERROR(VLOOKUP($B22,'Состав ВТК'!$B$9:$J$109,7,FALSE),"-")</f>
        <v>-</v>
      </c>
      <c r="E22" s="247" t="str">
        <f>IFERROR(VLOOKUP($B22,'Состав ВТК'!$B$9:$J$109,8,FALSE),"-")</f>
        <v>-</v>
      </c>
      <c r="F22" s="247" t="str">
        <f>IFERROR(VLOOKUP($B22,'Состав ВТК'!$B$9:$G$109,6,FALSE),"-")</f>
        <v>-</v>
      </c>
      <c r="G22" s="247" t="str">
        <f>IFERROR(VLOOKUP($B22,'Состав ВТК'!$B$9:$J$109,9,FALSE),"-")</f>
        <v>-</v>
      </c>
      <c r="H22" s="350" t="str">
        <f>IFERROR(VLOOKUP($C22,Расценка!$N$3:$O$543,2,FALSE),"-")</f>
        <v>-</v>
      </c>
      <c r="I22" s="351">
        <f>IFERROR(SUMIFS('Трудозатраты членов ВТК'!$G$17:$G$117,'Трудозатраты членов ВТК'!$D$17:$D$117,B:B),"-")</f>
        <v>0</v>
      </c>
      <c r="J22" s="351">
        <f>IFERROR(SUMIFS('Трудозатраты членов ВТК'!$F$464:$F$713,'Трудозатраты членов ВТК'!$D$464:$D$713,B:B),"-")</f>
        <v>0</v>
      </c>
      <c r="K22" s="351" t="str">
        <f>IFERROR(ROUND($J22*VLOOKUP($H22,Расценка!$C$3:$E$12,3,FALSE),2),"-")</f>
        <v>-</v>
      </c>
      <c r="L22" s="638"/>
      <c r="M22" s="351">
        <f>IFERROR(SUMIFS('Трудозатраты членов ВТК'!$G$17:$G$117,'Трудозатраты членов ВТК'!$D$17:$D$117,B:B),"-")</f>
        <v>0</v>
      </c>
      <c r="N22" s="351">
        <f>IFERROR(SUMIFS('Трудозатраты членов ВТК'!$F$464:$F$713,'Трудозатраты членов ВТК'!$D$464:$D$713,B:B),"-")</f>
        <v>0</v>
      </c>
      <c r="O22" s="639"/>
      <c r="P22" s="351">
        <f>IFERROR(ROUND(IF('Состав ВТК'!$K18=справочник!$A$5,$N22*VLOOKUP($L22,Расценка!$C$3:$E$12,3,FALSE)*$O22,0),2),"-")</f>
        <v>0</v>
      </c>
      <c r="Q22" s="229"/>
    </row>
    <row r="23" spans="1:18" ht="18.75" x14ac:dyDescent="0.3">
      <c r="A23" s="247">
        <v>11</v>
      </c>
      <c r="B23" s="349">
        <f>'Состав ВТК'!$B19</f>
        <v>0</v>
      </c>
      <c r="C23" s="349" t="str">
        <f>IFERROR(VLOOKUP($B23,'Состав ВТК'!$B$9:$J$109,3,FALSE),"-")</f>
        <v>-</v>
      </c>
      <c r="D23" s="247" t="str">
        <f>IFERROR(VLOOKUP($B23,'Состав ВТК'!$B$9:$J$109,7,FALSE),"-")</f>
        <v>-</v>
      </c>
      <c r="E23" s="247" t="str">
        <f>IFERROR(VLOOKUP($B23,'Состав ВТК'!$B$9:$J$109,8,FALSE),"-")</f>
        <v>-</v>
      </c>
      <c r="F23" s="247" t="str">
        <f>IFERROR(VLOOKUP($B23,'Состав ВТК'!$B$9:$G$109,6,FALSE),"-")</f>
        <v>-</v>
      </c>
      <c r="G23" s="247" t="str">
        <f>IFERROR(VLOOKUP($B23,'Состав ВТК'!$B$9:$J$109,9,FALSE),"-")</f>
        <v>-</v>
      </c>
      <c r="H23" s="350" t="str">
        <f>IFERROR(VLOOKUP($C23,Расценка!$N$3:$O$543,2,FALSE),"-")</f>
        <v>-</v>
      </c>
      <c r="I23" s="351">
        <f>IFERROR(SUMIFS('Трудозатраты членов ВТК'!$G$17:$G$117,'Трудозатраты членов ВТК'!$D$17:$D$117,B:B),"-")</f>
        <v>0</v>
      </c>
      <c r="J23" s="351">
        <f>IFERROR(SUMIFS('Трудозатраты членов ВТК'!$F$464:$F$713,'Трудозатраты членов ВТК'!$D$464:$D$713,B:B),"-")</f>
        <v>0</v>
      </c>
      <c r="K23" s="351" t="str">
        <f>IFERROR(ROUND($J23*VLOOKUP($H23,Расценка!$C$3:$E$12,3,FALSE),2),"-")</f>
        <v>-</v>
      </c>
      <c r="L23" s="638"/>
      <c r="M23" s="351">
        <f>IFERROR(SUMIFS('Трудозатраты членов ВТК'!$G$17:$G$117,'Трудозатраты членов ВТК'!$D$17:$D$117,B:B),"-")</f>
        <v>0</v>
      </c>
      <c r="N23" s="351">
        <f>IFERROR(SUMIFS('Трудозатраты членов ВТК'!$F$464:$F$713,'Трудозатраты членов ВТК'!$D$464:$D$713,B:B),"-")</f>
        <v>0</v>
      </c>
      <c r="O23" s="639"/>
      <c r="P23" s="351">
        <f>IFERROR(ROUND(IF('Состав ВТК'!$K19=справочник!$A$5,$N23*VLOOKUP($L23,Расценка!$C$3:$E$12,3,FALSE)*$O23,0),2),"-")</f>
        <v>0</v>
      </c>
      <c r="Q23" s="229"/>
    </row>
    <row r="24" spans="1:18" ht="15.75" x14ac:dyDescent="0.25">
      <c r="A24" s="247">
        <v>12</v>
      </c>
      <c r="B24" s="349">
        <f>'Состав ВТК'!$B20</f>
        <v>0</v>
      </c>
      <c r="C24" s="349" t="str">
        <f>IFERROR(VLOOKUP($B24,'Состав ВТК'!$B$9:$J$109,3,FALSE),"-")</f>
        <v>-</v>
      </c>
      <c r="D24" s="247" t="str">
        <f>IFERROR(VLOOKUP($B24,'Состав ВТК'!$B$9:$J$109,7,FALSE),"-")</f>
        <v>-</v>
      </c>
      <c r="E24" s="247" t="str">
        <f>IFERROR(VLOOKUP($B24,'Состав ВТК'!$B$9:$J$109,8,FALSE),"-")</f>
        <v>-</v>
      </c>
      <c r="F24" s="247" t="str">
        <f>IFERROR(VLOOKUP($B24,'Состав ВТК'!$B$9:$G$109,6,FALSE),"-")</f>
        <v>-</v>
      </c>
      <c r="G24" s="247" t="str">
        <f>IFERROR(VLOOKUP($B24,'Состав ВТК'!$B$9:$J$109,9,FALSE),"-")</f>
        <v>-</v>
      </c>
      <c r="H24" s="350" t="str">
        <f>IFERROR(VLOOKUP($C24,Расценка!$N$3:$O$543,2,FALSE),"-")</f>
        <v>-</v>
      </c>
      <c r="I24" s="351">
        <f>IFERROR(SUMIFS('Трудозатраты членов ВТК'!$G$17:$G$117,'Трудозатраты членов ВТК'!$D$17:$D$117,B:B),"-")</f>
        <v>0</v>
      </c>
      <c r="J24" s="351">
        <f>IFERROR(SUMIFS('Трудозатраты членов ВТК'!$F$464:$F$713,'Трудозатраты членов ВТК'!$D$464:$D$713,B:B),"-")</f>
        <v>0</v>
      </c>
      <c r="K24" s="351" t="str">
        <f>IFERROR(ROUND($J24*VLOOKUP($H24,Расценка!$C$3:$E$12,3,FALSE),2),"-")</f>
        <v>-</v>
      </c>
      <c r="L24" s="638"/>
      <c r="M24" s="351">
        <f>IFERROR(SUMIFS('Трудозатраты членов ВТК'!$G$17:$G$117,'Трудозатраты членов ВТК'!$D$17:$D$117,B:B),"-")</f>
        <v>0</v>
      </c>
      <c r="N24" s="351">
        <f>IFERROR(SUMIFS('Трудозатраты членов ВТК'!$F$464:$F$713,'Трудозатраты членов ВТК'!$D$464:$D$713,B:B),"-")</f>
        <v>0</v>
      </c>
      <c r="O24" s="639"/>
      <c r="P24" s="351">
        <f>IFERROR(ROUND(IF('Состав ВТК'!$K20=справочник!$A$5,$N24*VLOOKUP($L24,Расценка!$C$3:$E$12,3,FALSE)*$O24,0),2),"-")</f>
        <v>0</v>
      </c>
    </row>
    <row r="25" spans="1:18" ht="15.75" x14ac:dyDescent="0.25">
      <c r="A25" s="247">
        <v>13</v>
      </c>
      <c r="B25" s="349">
        <f>'Состав ВТК'!$B21</f>
        <v>0</v>
      </c>
      <c r="C25" s="349" t="str">
        <f>IFERROR(VLOOKUP($B25,'Состав ВТК'!$B$9:$J$109,3,FALSE),"-")</f>
        <v>-</v>
      </c>
      <c r="D25" s="247" t="str">
        <f>IFERROR(VLOOKUP($B25,'Состав ВТК'!$B$9:$J$109,7,FALSE),"-")</f>
        <v>-</v>
      </c>
      <c r="E25" s="247" t="str">
        <f>IFERROR(VLOOKUP($B25,'Состав ВТК'!$B$9:$J$109,8,FALSE),"-")</f>
        <v>-</v>
      </c>
      <c r="F25" s="247" t="str">
        <f>IFERROR(VLOOKUP($B25,'Состав ВТК'!$B$9:$G$109,6,FALSE),"-")</f>
        <v>-</v>
      </c>
      <c r="G25" s="247" t="str">
        <f>IFERROR(VLOOKUP($B25,'Состав ВТК'!$B$9:$J$109,9,FALSE),"-")</f>
        <v>-</v>
      </c>
      <c r="H25" s="350" t="str">
        <f>IFERROR(VLOOKUP($C25,Расценка!$N$3:$O$543,2,FALSE),"-")</f>
        <v>-</v>
      </c>
      <c r="I25" s="351">
        <f>IFERROR(SUMIFS('Трудозатраты членов ВТК'!$G$17:$G$117,'Трудозатраты членов ВТК'!$D$17:$D$117,B:B),"-")</f>
        <v>0</v>
      </c>
      <c r="J25" s="351">
        <f>IFERROR(SUMIFS('Трудозатраты членов ВТК'!$F$464:$F$713,'Трудозатраты членов ВТК'!$D$464:$D$713,B:B),"-")</f>
        <v>0</v>
      </c>
      <c r="K25" s="351" t="str">
        <f>IFERROR(ROUND($J25*VLOOKUP($H25,Расценка!$C$3:$E$12,3,FALSE),2),"-")</f>
        <v>-</v>
      </c>
      <c r="L25" s="638"/>
      <c r="M25" s="351">
        <f>IFERROR(SUMIFS('Трудозатраты членов ВТК'!$G$17:$G$117,'Трудозатраты членов ВТК'!$D$17:$D$117,B:B),"-")</f>
        <v>0</v>
      </c>
      <c r="N25" s="351">
        <f>IFERROR(SUMIFS('Трудозатраты членов ВТК'!$F$464:$F$713,'Трудозатраты членов ВТК'!$D$464:$D$713,B:B),"-")</f>
        <v>0</v>
      </c>
      <c r="O25" s="639"/>
      <c r="P25" s="351">
        <f>IFERROR(ROUND(IF('Состав ВТК'!$K21=справочник!$A$5,$N25*VLOOKUP($L25,Расценка!$C$3:$E$12,3,FALSE)*$O25,0),2),"-")</f>
        <v>0</v>
      </c>
    </row>
    <row r="26" spans="1:18" ht="15.75" x14ac:dyDescent="0.25">
      <c r="A26" s="247">
        <v>14</v>
      </c>
      <c r="B26" s="349">
        <f>'Состав ВТК'!$B22</f>
        <v>0</v>
      </c>
      <c r="C26" s="349" t="str">
        <f>IFERROR(VLOOKUP($B26,'Состав ВТК'!$B$9:$J$109,3,FALSE),"-")</f>
        <v>-</v>
      </c>
      <c r="D26" s="247" t="str">
        <f>IFERROR(VLOOKUP($B26,'Состав ВТК'!$B$9:$J$109,7,FALSE),"-")</f>
        <v>-</v>
      </c>
      <c r="E26" s="247" t="str">
        <f>IFERROR(VLOOKUP($B26,'Состав ВТК'!$B$9:$J$109,8,FALSE),"-")</f>
        <v>-</v>
      </c>
      <c r="F26" s="247" t="str">
        <f>IFERROR(VLOOKUP($B26,'Состав ВТК'!$B$9:$G$109,6,FALSE),"-")</f>
        <v>-</v>
      </c>
      <c r="G26" s="247" t="str">
        <f>IFERROR(VLOOKUP($B26,'Состав ВТК'!$B$9:$J$109,9,FALSE),"-")</f>
        <v>-</v>
      </c>
      <c r="H26" s="350" t="str">
        <f>IFERROR(VLOOKUP($C26,Расценка!$N$3:$O$543,2,FALSE),"-")</f>
        <v>-</v>
      </c>
      <c r="I26" s="351">
        <f>IFERROR(SUMIFS('Трудозатраты членов ВТК'!$G$17:$G$117,'Трудозатраты членов ВТК'!$D$17:$D$117,B:B),"-")</f>
        <v>0</v>
      </c>
      <c r="J26" s="351">
        <f>IFERROR(SUMIFS('Трудозатраты членов ВТК'!$F$464:$F$713,'Трудозатраты членов ВТК'!$D$464:$D$713,B:B),"-")</f>
        <v>0</v>
      </c>
      <c r="K26" s="351" t="str">
        <f>IFERROR(ROUND($J26*VLOOKUP($H26,Расценка!$C$3:$E$12,3,FALSE),2),"-")</f>
        <v>-</v>
      </c>
      <c r="L26" s="638"/>
      <c r="M26" s="351">
        <f>IFERROR(SUMIFS('Трудозатраты членов ВТК'!$G$17:$G$117,'Трудозатраты членов ВТК'!$D$17:$D$117,B:B),"-")</f>
        <v>0</v>
      </c>
      <c r="N26" s="351">
        <f>IFERROR(SUMIFS('Трудозатраты членов ВТК'!$F$464:$F$713,'Трудозатраты членов ВТК'!$D$464:$D$713,B:B),"-")</f>
        <v>0</v>
      </c>
      <c r="O26" s="639"/>
      <c r="P26" s="351">
        <f>IFERROR(ROUND(IF('Состав ВТК'!$K22=справочник!$A$5,$N26*VLOOKUP($L26,Расценка!$C$3:$E$12,3,FALSE)*$O26,0),2),"-")</f>
        <v>0</v>
      </c>
    </row>
    <row r="27" spans="1:18" ht="15.75" x14ac:dyDescent="0.25">
      <c r="A27" s="247">
        <v>15</v>
      </c>
      <c r="B27" s="349">
        <f>'Состав ВТК'!$B23</f>
        <v>0</v>
      </c>
      <c r="C27" s="349" t="str">
        <f>IFERROR(VLOOKUP($B27,'Состав ВТК'!$B$9:$J$109,3,FALSE),"-")</f>
        <v>-</v>
      </c>
      <c r="D27" s="247" t="str">
        <f>IFERROR(VLOOKUP($B27,'Состав ВТК'!$B$9:$J$109,7,FALSE),"-")</f>
        <v>-</v>
      </c>
      <c r="E27" s="247" t="str">
        <f>IFERROR(VLOOKUP($B27,'Состав ВТК'!$B$9:$J$109,8,FALSE),"-")</f>
        <v>-</v>
      </c>
      <c r="F27" s="247" t="str">
        <f>IFERROR(VLOOKUP($B27,'Состав ВТК'!$B$9:$G$109,6,FALSE),"-")</f>
        <v>-</v>
      </c>
      <c r="G27" s="247" t="str">
        <f>IFERROR(VLOOKUP($B27,'Состав ВТК'!$B$9:$J$109,9,FALSE),"-")</f>
        <v>-</v>
      </c>
      <c r="H27" s="350" t="str">
        <f>IFERROR(VLOOKUP($C27,Расценка!$N$3:$O$543,2,FALSE),"-")</f>
        <v>-</v>
      </c>
      <c r="I27" s="351">
        <f>IFERROR(SUMIFS('Трудозатраты членов ВТК'!$G$17:$G$117,'Трудозатраты членов ВТК'!$D$17:$D$117,B:B),"-")</f>
        <v>0</v>
      </c>
      <c r="J27" s="351">
        <f>IFERROR(SUMIFS('Трудозатраты членов ВТК'!$F$464:$F$713,'Трудозатраты членов ВТК'!$D$464:$D$713,B:B),"-")</f>
        <v>0</v>
      </c>
      <c r="K27" s="351" t="str">
        <f>IFERROR(ROUND($J27*VLOOKUP($H27,Расценка!$C$3:$E$12,3,FALSE),2),"-")</f>
        <v>-</v>
      </c>
      <c r="L27" s="638"/>
      <c r="M27" s="351">
        <f>IFERROR(SUMIFS('Трудозатраты членов ВТК'!$G$17:$G$117,'Трудозатраты членов ВТК'!$D$17:$D$117,B:B),"-")</f>
        <v>0</v>
      </c>
      <c r="N27" s="351">
        <f>IFERROR(SUMIFS('Трудозатраты членов ВТК'!$F$464:$F$713,'Трудозатраты членов ВТК'!$D$464:$D$713,B:B),"-")</f>
        <v>0</v>
      </c>
      <c r="O27" s="639"/>
      <c r="P27" s="351">
        <f>IFERROR(ROUND(IF('Состав ВТК'!$K23=справочник!$A$5,$N27*VLOOKUP($L27,Расценка!$C$3:$E$12,3,FALSE)*$O27,0),2),"-")</f>
        <v>0</v>
      </c>
    </row>
    <row r="28" spans="1:18" ht="15.75" x14ac:dyDescent="0.25">
      <c r="A28" s="247">
        <v>16</v>
      </c>
      <c r="B28" s="349">
        <f>'Состав ВТК'!$B24</f>
        <v>0</v>
      </c>
      <c r="C28" s="349" t="str">
        <f>IFERROR(VLOOKUP($B28,'Состав ВТК'!$B$9:$J$109,3,FALSE),"-")</f>
        <v>-</v>
      </c>
      <c r="D28" s="247" t="str">
        <f>IFERROR(VLOOKUP($B28,'Состав ВТК'!$B$9:$J$109,7,FALSE),"-")</f>
        <v>-</v>
      </c>
      <c r="E28" s="247" t="str">
        <f>IFERROR(VLOOKUP($B28,'Состав ВТК'!$B$9:$J$109,8,FALSE),"-")</f>
        <v>-</v>
      </c>
      <c r="F28" s="247" t="str">
        <f>IFERROR(VLOOKUP($B28,'Состав ВТК'!$B$9:$G$109,6,FALSE),"-")</f>
        <v>-</v>
      </c>
      <c r="G28" s="247" t="str">
        <f>IFERROR(VLOOKUP($B28,'Состав ВТК'!$B$9:$J$109,9,FALSE),"-")</f>
        <v>-</v>
      </c>
      <c r="H28" s="350" t="str">
        <f>IFERROR(VLOOKUP($C28,Расценка!$N$3:$O$543,2,FALSE),"-")</f>
        <v>-</v>
      </c>
      <c r="I28" s="351">
        <f>IFERROR(SUMIFS('Трудозатраты членов ВТК'!$G$17:$G$117,'Трудозатраты членов ВТК'!$D$17:$D$117,B:B),"-")</f>
        <v>0</v>
      </c>
      <c r="J28" s="351">
        <f>IFERROR(SUMIFS('Трудозатраты членов ВТК'!$F$464:$F$713,'Трудозатраты членов ВТК'!$D$464:$D$713,B:B),"-")</f>
        <v>0</v>
      </c>
      <c r="K28" s="351" t="str">
        <f>IFERROR(ROUND($J28*VLOOKUP($H28,Расценка!$C$3:$E$12,3,FALSE),2),"-")</f>
        <v>-</v>
      </c>
      <c r="L28" s="638"/>
      <c r="M28" s="351">
        <f>IFERROR(SUMIFS('Трудозатраты членов ВТК'!$G$17:$G$117,'Трудозатраты членов ВТК'!$D$17:$D$117,B:B),"-")</f>
        <v>0</v>
      </c>
      <c r="N28" s="351">
        <f>IFERROR(SUMIFS('Трудозатраты членов ВТК'!$F$464:$F$713,'Трудозатраты членов ВТК'!$D$464:$D$713,B:B),"-")</f>
        <v>0</v>
      </c>
      <c r="O28" s="639"/>
      <c r="P28" s="351">
        <f>IFERROR(ROUND(IF('Состав ВТК'!$K24=справочник!$A$5,$N28*VLOOKUP($L28,Расценка!$C$3:$E$12,3,FALSE)*$O28,0),2),"-")</f>
        <v>0</v>
      </c>
    </row>
    <row r="29" spans="1:18" ht="15.75" x14ac:dyDescent="0.25">
      <c r="A29" s="247">
        <v>17</v>
      </c>
      <c r="B29" s="349">
        <f>'Состав ВТК'!$B25</f>
        <v>0</v>
      </c>
      <c r="C29" s="349" t="str">
        <f>IFERROR(VLOOKUP($B29,'Состав ВТК'!$B$9:$J$109,3,FALSE),"-")</f>
        <v>-</v>
      </c>
      <c r="D29" s="247" t="str">
        <f>IFERROR(VLOOKUP($B29,'Состав ВТК'!$B$9:$J$109,7,FALSE),"-")</f>
        <v>-</v>
      </c>
      <c r="E29" s="247" t="str">
        <f>IFERROR(VLOOKUP($B29,'Состав ВТК'!$B$9:$J$109,8,FALSE),"-")</f>
        <v>-</v>
      </c>
      <c r="F29" s="247" t="str">
        <f>IFERROR(VLOOKUP($B29,'Состав ВТК'!$B$9:$G$109,6,FALSE),"-")</f>
        <v>-</v>
      </c>
      <c r="G29" s="247" t="str">
        <f>IFERROR(VLOOKUP($B29,'Состав ВТК'!$B$9:$J$109,9,FALSE),"-")</f>
        <v>-</v>
      </c>
      <c r="H29" s="350" t="str">
        <f>IFERROR(VLOOKUP($C29,Расценка!$N$3:$O$543,2,FALSE),"-")</f>
        <v>-</v>
      </c>
      <c r="I29" s="351">
        <f>IFERROR(SUMIFS('Трудозатраты членов ВТК'!$G$17:$G$117,'Трудозатраты членов ВТК'!$D$17:$D$117,B:B),"-")</f>
        <v>0</v>
      </c>
      <c r="J29" s="351">
        <f>IFERROR(SUMIFS('Трудозатраты членов ВТК'!$F$464:$F$713,'Трудозатраты членов ВТК'!$D$464:$D$713,B:B),"-")</f>
        <v>0</v>
      </c>
      <c r="K29" s="351" t="str">
        <f>IFERROR(ROUND($J29*VLOOKUP($H29,Расценка!$C$3:$E$12,3,FALSE),2),"-")</f>
        <v>-</v>
      </c>
      <c r="L29" s="638"/>
      <c r="M29" s="351">
        <f>IFERROR(SUMIFS('Трудозатраты членов ВТК'!$G$17:$G$117,'Трудозатраты членов ВТК'!$D$17:$D$117,B:B),"-")</f>
        <v>0</v>
      </c>
      <c r="N29" s="351">
        <f>IFERROR(SUMIFS('Трудозатраты членов ВТК'!$F$464:$F$713,'Трудозатраты членов ВТК'!$D$464:$D$713,B:B),"-")</f>
        <v>0</v>
      </c>
      <c r="O29" s="639"/>
      <c r="P29" s="351">
        <f>IFERROR(ROUND(IF('Состав ВТК'!$K25=справочник!$A$5,$N29*VLOOKUP($L29,Расценка!$C$3:$E$12,3,FALSE)*$O29,0),2),"-")</f>
        <v>0</v>
      </c>
    </row>
    <row r="30" spans="1:18" ht="15.75" x14ac:dyDescent="0.25">
      <c r="A30" s="247">
        <v>18</v>
      </c>
      <c r="B30" s="349">
        <f>'Состав ВТК'!$B26</f>
        <v>0</v>
      </c>
      <c r="C30" s="349" t="str">
        <f>IFERROR(VLOOKUP($B30,'Состав ВТК'!$B$9:$J$109,3,FALSE),"-")</f>
        <v>-</v>
      </c>
      <c r="D30" s="247" t="str">
        <f>IFERROR(VLOOKUP($B30,'Состав ВТК'!$B$9:$J$109,7,FALSE),"-")</f>
        <v>-</v>
      </c>
      <c r="E30" s="247" t="str">
        <f>IFERROR(VLOOKUP($B30,'Состав ВТК'!$B$9:$J$109,8,FALSE),"-")</f>
        <v>-</v>
      </c>
      <c r="F30" s="247" t="str">
        <f>IFERROR(VLOOKUP($B30,'Состав ВТК'!$B$9:$G$109,6,FALSE),"-")</f>
        <v>-</v>
      </c>
      <c r="G30" s="247" t="str">
        <f>IFERROR(VLOOKUP($B30,'Состав ВТК'!$B$9:$J$109,9,FALSE),"-")</f>
        <v>-</v>
      </c>
      <c r="H30" s="350" t="str">
        <f>IFERROR(VLOOKUP($C30,Расценка!$N$3:$O$543,2,FALSE),"-")</f>
        <v>-</v>
      </c>
      <c r="I30" s="351">
        <f>IFERROR(SUMIFS('Трудозатраты членов ВТК'!$G$17:$G$117,'Трудозатраты членов ВТК'!$D$17:$D$117,B:B),"-")</f>
        <v>0</v>
      </c>
      <c r="J30" s="351">
        <f>IFERROR(SUMIFS('Трудозатраты членов ВТК'!$F$464:$F$713,'Трудозатраты членов ВТК'!$D$464:$D$713,B:B),"-")</f>
        <v>0</v>
      </c>
      <c r="K30" s="351" t="str">
        <f>IFERROR(ROUND($J30*VLOOKUP($H30,Расценка!$C$3:$E$12,3,FALSE),2),"-")</f>
        <v>-</v>
      </c>
      <c r="L30" s="638"/>
      <c r="M30" s="351">
        <f>IFERROR(SUMIFS('Трудозатраты членов ВТК'!$G$17:$G$117,'Трудозатраты членов ВТК'!$D$17:$D$117,B:B),"-")</f>
        <v>0</v>
      </c>
      <c r="N30" s="351">
        <f>IFERROR(SUMIFS('Трудозатраты членов ВТК'!$F$464:$F$713,'Трудозатраты членов ВТК'!$D$464:$D$713,B:B),"-")</f>
        <v>0</v>
      </c>
      <c r="O30" s="639"/>
      <c r="P30" s="351">
        <f>IFERROR(ROUND(IF('Состав ВТК'!$K26=справочник!$A$5,$N30*VLOOKUP($L30,Расценка!$C$3:$E$12,3,FALSE)*$O30,0),2),"-")</f>
        <v>0</v>
      </c>
    </row>
    <row r="31" spans="1:18" ht="15.75" x14ac:dyDescent="0.25">
      <c r="A31" s="247">
        <v>19</v>
      </c>
      <c r="B31" s="349">
        <f>'Состав ВТК'!$B27</f>
        <v>0</v>
      </c>
      <c r="C31" s="349" t="str">
        <f>IFERROR(VLOOKUP($B31,'Состав ВТК'!$B$9:$J$109,3,FALSE),"-")</f>
        <v>-</v>
      </c>
      <c r="D31" s="247" t="str">
        <f>IFERROR(VLOOKUP($B31,'Состав ВТК'!$B$9:$J$109,7,FALSE),"-")</f>
        <v>-</v>
      </c>
      <c r="E31" s="247" t="str">
        <f>IFERROR(VLOOKUP($B31,'Состав ВТК'!$B$9:$J$109,8,FALSE),"-")</f>
        <v>-</v>
      </c>
      <c r="F31" s="247" t="str">
        <f>IFERROR(VLOOKUP($B31,'Состав ВТК'!$B$9:$G$109,6,FALSE),"-")</f>
        <v>-</v>
      </c>
      <c r="G31" s="247" t="str">
        <f>IFERROR(VLOOKUP($B31,'Состав ВТК'!$B$9:$J$109,9,FALSE),"-")</f>
        <v>-</v>
      </c>
      <c r="H31" s="350" t="str">
        <f>IFERROR(VLOOKUP($C31,Расценка!$N$3:$O$543,2,FALSE),"-")</f>
        <v>-</v>
      </c>
      <c r="I31" s="351">
        <f>IFERROR(SUMIFS('Трудозатраты членов ВТК'!$G$17:$G$117,'Трудозатраты членов ВТК'!$D$17:$D$117,B:B),"-")</f>
        <v>0</v>
      </c>
      <c r="J31" s="351">
        <f>IFERROR(SUMIFS('Трудозатраты членов ВТК'!$F$464:$F$713,'Трудозатраты членов ВТК'!$D$464:$D$713,B:B),"-")</f>
        <v>0</v>
      </c>
      <c r="K31" s="351" t="str">
        <f>IFERROR(ROUND($J31*VLOOKUP($H31,Расценка!$C$3:$E$12,3,FALSE),2),"-")</f>
        <v>-</v>
      </c>
      <c r="L31" s="638"/>
      <c r="M31" s="351">
        <f>IFERROR(SUMIFS('Трудозатраты членов ВТК'!$G$17:$G$117,'Трудозатраты членов ВТК'!$D$17:$D$117,B:B),"-")</f>
        <v>0</v>
      </c>
      <c r="N31" s="351">
        <f>IFERROR(SUMIFS('Трудозатраты членов ВТК'!$F$464:$F$713,'Трудозатраты членов ВТК'!$D$464:$D$713,B:B),"-")</f>
        <v>0</v>
      </c>
      <c r="O31" s="639"/>
      <c r="P31" s="351">
        <f>IFERROR(ROUND(IF('Состав ВТК'!$K27=справочник!$A$5,$N31*VLOOKUP($L31,Расценка!$C$3:$E$12,3,FALSE)*$O31,0),2),"-")</f>
        <v>0</v>
      </c>
    </row>
    <row r="32" spans="1:18" ht="15.75" x14ac:dyDescent="0.25">
      <c r="A32" s="247">
        <v>20</v>
      </c>
      <c r="B32" s="349">
        <f>'Состав ВТК'!$B28</f>
        <v>0</v>
      </c>
      <c r="C32" s="349" t="str">
        <f>IFERROR(VLOOKUP($B32,'Состав ВТК'!$B$9:$J$109,3,FALSE),"-")</f>
        <v>-</v>
      </c>
      <c r="D32" s="247" t="str">
        <f>IFERROR(VLOOKUP($B32,'Состав ВТК'!$B$9:$J$109,7,FALSE),"-")</f>
        <v>-</v>
      </c>
      <c r="E32" s="247" t="str">
        <f>IFERROR(VLOOKUP($B32,'Состав ВТК'!$B$9:$J$109,8,FALSE),"-")</f>
        <v>-</v>
      </c>
      <c r="F32" s="247" t="str">
        <f>IFERROR(VLOOKUP($B32,'Состав ВТК'!$B$9:$G$109,6,FALSE),"-")</f>
        <v>-</v>
      </c>
      <c r="G32" s="247" t="str">
        <f>IFERROR(VLOOKUP($B32,'Состав ВТК'!$B$9:$J$109,9,FALSE),"-")</f>
        <v>-</v>
      </c>
      <c r="H32" s="350" t="str">
        <f>IFERROR(VLOOKUP($C32,Расценка!$N$3:$O$543,2,FALSE),"-")</f>
        <v>-</v>
      </c>
      <c r="I32" s="351">
        <f>IFERROR(SUMIFS('Трудозатраты членов ВТК'!$G$17:$G$117,'Трудозатраты членов ВТК'!$D$17:$D$117,B:B),"-")</f>
        <v>0</v>
      </c>
      <c r="J32" s="351">
        <f>IFERROR(SUMIFS('Трудозатраты членов ВТК'!$F$464:$F$713,'Трудозатраты членов ВТК'!$D$464:$D$713,B:B),"-")</f>
        <v>0</v>
      </c>
      <c r="K32" s="351" t="str">
        <f>IFERROR(ROUND($J32*VLOOKUP($H32,Расценка!$C$3:$E$12,3,FALSE),2),"-")</f>
        <v>-</v>
      </c>
      <c r="L32" s="638"/>
      <c r="M32" s="351">
        <f>IFERROR(SUMIFS('Трудозатраты членов ВТК'!$G$17:$G$117,'Трудозатраты членов ВТК'!$D$17:$D$117,B:B),"-")</f>
        <v>0</v>
      </c>
      <c r="N32" s="351">
        <f>IFERROR(SUMIFS('Трудозатраты членов ВТК'!$F$464:$F$713,'Трудозатраты членов ВТК'!$D$464:$D$713,B:B),"-")</f>
        <v>0</v>
      </c>
      <c r="O32" s="639"/>
      <c r="P32" s="351">
        <f>IFERROR(ROUND(IF('Состав ВТК'!$K28=справочник!$A$5,$N32*VLOOKUP($L32,Расценка!$C$3:$E$12,3,FALSE)*$O32,0),2),"-")</f>
        <v>0</v>
      </c>
    </row>
    <row r="33" spans="1:16" ht="15.75" x14ac:dyDescent="0.25">
      <c r="A33" s="247">
        <v>21</v>
      </c>
      <c r="B33" s="349">
        <f>'Состав ВТК'!$B29</f>
        <v>0</v>
      </c>
      <c r="C33" s="349" t="str">
        <f>IFERROR(VLOOKUP($B33,'Состав ВТК'!$B$9:$J$109,3,FALSE),"-")</f>
        <v>-</v>
      </c>
      <c r="D33" s="247" t="str">
        <f>IFERROR(VLOOKUP($B33,'Состав ВТК'!$B$9:$J$109,7,FALSE),"-")</f>
        <v>-</v>
      </c>
      <c r="E33" s="247" t="str">
        <f>IFERROR(VLOOKUP($B33,'Состав ВТК'!$B$9:$J$109,8,FALSE),"-")</f>
        <v>-</v>
      </c>
      <c r="F33" s="247" t="str">
        <f>IFERROR(VLOOKUP($B33,'Состав ВТК'!$B$9:$G$109,6,FALSE),"-")</f>
        <v>-</v>
      </c>
      <c r="G33" s="247" t="str">
        <f>IFERROR(VLOOKUP($B33,'Состав ВТК'!$B$9:$J$109,9,FALSE),"-")</f>
        <v>-</v>
      </c>
      <c r="H33" s="350" t="str">
        <f>IFERROR(VLOOKUP($C33,Расценка!$N$3:$O$543,2,FALSE),"-")</f>
        <v>-</v>
      </c>
      <c r="I33" s="351">
        <f>IFERROR(SUMIFS('Трудозатраты членов ВТК'!$G$17:$G$117,'Трудозатраты членов ВТК'!$D$17:$D$117,B:B),"-")</f>
        <v>0</v>
      </c>
      <c r="J33" s="351">
        <f>IFERROR(SUMIFS('Трудозатраты членов ВТК'!$F$464:$F$713,'Трудозатраты членов ВТК'!$D$464:$D$713,B:B),"-")</f>
        <v>0</v>
      </c>
      <c r="K33" s="351" t="str">
        <f>IFERROR(ROUND($J33*VLOOKUP($H33,Расценка!$C$3:$E$12,3,FALSE),2),"-")</f>
        <v>-</v>
      </c>
      <c r="L33" s="638"/>
      <c r="M33" s="351">
        <f>IFERROR(SUMIFS('Трудозатраты членов ВТК'!$G$17:$G$117,'Трудозатраты членов ВТК'!$D$17:$D$117,B:B),"-")</f>
        <v>0</v>
      </c>
      <c r="N33" s="351">
        <f>IFERROR(SUMIFS('Трудозатраты членов ВТК'!$F$464:$F$713,'Трудозатраты членов ВТК'!$D$464:$D$713,B:B),"-")</f>
        <v>0</v>
      </c>
      <c r="O33" s="639"/>
      <c r="P33" s="351">
        <f>IFERROR(ROUND(IF('Состав ВТК'!$K29=справочник!$A$5,$N33*VLOOKUP($L33,Расценка!$C$3:$E$12,3,FALSE)*$O33,0),2),"-")</f>
        <v>0</v>
      </c>
    </row>
    <row r="34" spans="1:16" ht="15.75" x14ac:dyDescent="0.25">
      <c r="A34" s="247">
        <v>22</v>
      </c>
      <c r="B34" s="349">
        <f>'Состав ВТК'!$B30</f>
        <v>0</v>
      </c>
      <c r="C34" s="349" t="str">
        <f>IFERROR(VLOOKUP($B34,'Состав ВТК'!$B$9:$J$109,3,FALSE),"-")</f>
        <v>-</v>
      </c>
      <c r="D34" s="247" t="str">
        <f>IFERROR(VLOOKUP($B34,'Состав ВТК'!$B$9:$J$109,7,FALSE),"-")</f>
        <v>-</v>
      </c>
      <c r="E34" s="247" t="str">
        <f>IFERROR(VLOOKUP($B34,'Состав ВТК'!$B$9:$J$109,8,FALSE),"-")</f>
        <v>-</v>
      </c>
      <c r="F34" s="247" t="str">
        <f>IFERROR(VLOOKUP($B34,'Состав ВТК'!$B$9:$G$109,6,FALSE),"-")</f>
        <v>-</v>
      </c>
      <c r="G34" s="247" t="str">
        <f>IFERROR(VLOOKUP($B34,'Состав ВТК'!$B$9:$J$109,9,FALSE),"-")</f>
        <v>-</v>
      </c>
      <c r="H34" s="350" t="str">
        <f>IFERROR(VLOOKUP($C34,Расценка!$N$3:$O$543,2,FALSE),"-")</f>
        <v>-</v>
      </c>
      <c r="I34" s="351">
        <f>IFERROR(SUMIFS('Трудозатраты членов ВТК'!$G$17:$G$117,'Трудозатраты членов ВТК'!$D$17:$D$117,B:B),"-")</f>
        <v>0</v>
      </c>
      <c r="J34" s="351">
        <f>IFERROR(SUMIFS('Трудозатраты членов ВТК'!$F$464:$F$713,'Трудозатраты членов ВТК'!$D$464:$D$713,B:B),"-")</f>
        <v>0</v>
      </c>
      <c r="K34" s="351" t="str">
        <f>IFERROR(ROUND($J34*VLOOKUP($H34,Расценка!$C$3:$E$12,3,FALSE),2),"-")</f>
        <v>-</v>
      </c>
      <c r="L34" s="638"/>
      <c r="M34" s="351">
        <f>IFERROR(SUMIFS('Трудозатраты членов ВТК'!$G$17:$G$117,'Трудозатраты членов ВТК'!$D$17:$D$117,B:B),"-")</f>
        <v>0</v>
      </c>
      <c r="N34" s="351">
        <f>IFERROR(SUMIFS('Трудозатраты членов ВТК'!$F$464:$F$713,'Трудозатраты членов ВТК'!$D$464:$D$713,B:B),"-")</f>
        <v>0</v>
      </c>
      <c r="O34" s="639"/>
      <c r="P34" s="351">
        <f>IFERROR(ROUND(IF('Состав ВТК'!$K30=справочник!$A$5,$N34*VLOOKUP($L34,Расценка!$C$3:$E$12,3,FALSE)*$O34,0),2),"-")</f>
        <v>0</v>
      </c>
    </row>
    <row r="35" spans="1:16" ht="15.75" x14ac:dyDescent="0.25">
      <c r="A35" s="247">
        <v>23</v>
      </c>
      <c r="B35" s="349">
        <f>'Состав ВТК'!$B31</f>
        <v>0</v>
      </c>
      <c r="C35" s="349" t="str">
        <f>IFERROR(VLOOKUP($B35,'Состав ВТК'!$B$9:$J$109,3,FALSE),"-")</f>
        <v>-</v>
      </c>
      <c r="D35" s="247" t="str">
        <f>IFERROR(VLOOKUP($B35,'Состав ВТК'!$B$9:$J$109,7,FALSE),"-")</f>
        <v>-</v>
      </c>
      <c r="E35" s="247" t="str">
        <f>IFERROR(VLOOKUP($B35,'Состав ВТК'!$B$9:$J$109,8,FALSE),"-")</f>
        <v>-</v>
      </c>
      <c r="F35" s="247" t="str">
        <f>IFERROR(VLOOKUP($B35,'Состав ВТК'!$B$9:$G$109,6,FALSE),"-")</f>
        <v>-</v>
      </c>
      <c r="G35" s="247" t="str">
        <f>IFERROR(VLOOKUP($B35,'Состав ВТК'!$B$9:$J$109,9,FALSE),"-")</f>
        <v>-</v>
      </c>
      <c r="H35" s="350" t="str">
        <f>IFERROR(VLOOKUP($C35,Расценка!$N$3:$O$543,2,FALSE),"-")</f>
        <v>-</v>
      </c>
      <c r="I35" s="351">
        <f>IFERROR(SUMIFS('Трудозатраты членов ВТК'!$G$17:$G$117,'Трудозатраты членов ВТК'!$D$17:$D$117,B:B),"-")</f>
        <v>0</v>
      </c>
      <c r="J35" s="351">
        <f>IFERROR(SUMIFS('Трудозатраты членов ВТК'!$F$464:$F$713,'Трудозатраты членов ВТК'!$D$464:$D$713,B:B),"-")</f>
        <v>0</v>
      </c>
      <c r="K35" s="351" t="str">
        <f>IFERROR(ROUND($J35*VLOOKUP($H35,Расценка!$C$3:$E$12,3,FALSE),2),"-")</f>
        <v>-</v>
      </c>
      <c r="L35" s="638"/>
      <c r="M35" s="351">
        <f>IFERROR(SUMIFS('Трудозатраты членов ВТК'!$G$17:$G$117,'Трудозатраты членов ВТК'!$D$17:$D$117,B:B),"-")</f>
        <v>0</v>
      </c>
      <c r="N35" s="351">
        <f>IFERROR(SUMIFS('Трудозатраты членов ВТК'!$F$464:$F$713,'Трудозатраты членов ВТК'!$D$464:$D$713,B:B),"-")</f>
        <v>0</v>
      </c>
      <c r="O35" s="639"/>
      <c r="P35" s="351">
        <f>IFERROR(ROUND(IF('Состав ВТК'!$K31=справочник!$A$5,$N35*VLOOKUP($L35,Расценка!$C$3:$E$12,3,FALSE)*$O35,0),2),"-")</f>
        <v>0</v>
      </c>
    </row>
    <row r="36" spans="1:16" ht="15.75" x14ac:dyDescent="0.25">
      <c r="A36" s="247">
        <v>24</v>
      </c>
      <c r="B36" s="349">
        <f>'Состав ВТК'!$B32</f>
        <v>0</v>
      </c>
      <c r="C36" s="349" t="str">
        <f>IFERROR(VLOOKUP($B36,'Состав ВТК'!$B$9:$J$109,3,FALSE),"-")</f>
        <v>-</v>
      </c>
      <c r="D36" s="247" t="str">
        <f>IFERROR(VLOOKUP($B36,'Состав ВТК'!$B$9:$J$109,7,FALSE),"-")</f>
        <v>-</v>
      </c>
      <c r="E36" s="247" t="str">
        <f>IFERROR(VLOOKUP($B36,'Состав ВТК'!$B$9:$J$109,8,FALSE),"-")</f>
        <v>-</v>
      </c>
      <c r="F36" s="247" t="str">
        <f>IFERROR(VLOOKUP($B36,'Состав ВТК'!$B$9:$G$109,6,FALSE),"-")</f>
        <v>-</v>
      </c>
      <c r="G36" s="247" t="str">
        <f>IFERROR(VLOOKUP($B36,'Состав ВТК'!$B$9:$J$109,9,FALSE),"-")</f>
        <v>-</v>
      </c>
      <c r="H36" s="350" t="str">
        <f>IFERROR(VLOOKUP($C36,Расценка!$N$3:$O$543,2,FALSE),"-")</f>
        <v>-</v>
      </c>
      <c r="I36" s="351">
        <f>IFERROR(SUMIFS('Трудозатраты членов ВТК'!$G$17:$G$117,'Трудозатраты членов ВТК'!$D$17:$D$117,B:B),"-")</f>
        <v>0</v>
      </c>
      <c r="J36" s="351">
        <f>IFERROR(SUMIFS('Трудозатраты членов ВТК'!$F$464:$F$713,'Трудозатраты членов ВТК'!$D$464:$D$713,B:B),"-")</f>
        <v>0</v>
      </c>
      <c r="K36" s="351" t="str">
        <f>IFERROR(ROUND($J36*VLOOKUP($H36,Расценка!$C$3:$E$12,3,FALSE),2),"-")</f>
        <v>-</v>
      </c>
      <c r="L36" s="638"/>
      <c r="M36" s="351">
        <f>IFERROR(SUMIFS('Трудозатраты членов ВТК'!$G$17:$G$117,'Трудозатраты членов ВТК'!$D$17:$D$117,B:B),"-")</f>
        <v>0</v>
      </c>
      <c r="N36" s="351">
        <f>IFERROR(SUMIFS('Трудозатраты членов ВТК'!$F$464:$F$713,'Трудозатраты членов ВТК'!$D$464:$D$713,B:B),"-")</f>
        <v>0</v>
      </c>
      <c r="O36" s="639"/>
      <c r="P36" s="351">
        <f>IFERROR(ROUND(IF('Состав ВТК'!$K32=справочник!$A$5,$N36*VLOOKUP($L36,Расценка!$C$3:$E$12,3,FALSE)*$O36,0),2),"-")</f>
        <v>0</v>
      </c>
    </row>
    <row r="37" spans="1:16" ht="15.75" x14ac:dyDescent="0.25">
      <c r="A37" s="247">
        <v>25</v>
      </c>
      <c r="B37" s="349">
        <f>'Состав ВТК'!$B33</f>
        <v>0</v>
      </c>
      <c r="C37" s="349" t="str">
        <f>IFERROR(VLOOKUP($B37,'Состав ВТК'!$B$9:$J$109,3,FALSE),"-")</f>
        <v>-</v>
      </c>
      <c r="D37" s="247" t="str">
        <f>IFERROR(VLOOKUP($B37,'Состав ВТК'!$B$9:$J$109,7,FALSE),"-")</f>
        <v>-</v>
      </c>
      <c r="E37" s="247" t="str">
        <f>IFERROR(VLOOKUP($B37,'Состав ВТК'!$B$9:$J$109,8,FALSE),"-")</f>
        <v>-</v>
      </c>
      <c r="F37" s="247" t="str">
        <f>IFERROR(VLOOKUP($B37,'Состав ВТК'!$B$9:$G$109,6,FALSE),"-")</f>
        <v>-</v>
      </c>
      <c r="G37" s="247" t="str">
        <f>IFERROR(VLOOKUP($B37,'Состав ВТК'!$B$9:$J$109,9,FALSE),"-")</f>
        <v>-</v>
      </c>
      <c r="H37" s="350" t="str">
        <f>IFERROR(VLOOKUP($C37,Расценка!$N$3:$O$543,2,FALSE),"-")</f>
        <v>-</v>
      </c>
      <c r="I37" s="351">
        <f>IFERROR(SUMIFS('Трудозатраты членов ВТК'!$G$17:$G$117,'Трудозатраты членов ВТК'!$D$17:$D$117,B:B),"-")</f>
        <v>0</v>
      </c>
      <c r="J37" s="351">
        <f>IFERROR(SUMIFS('Трудозатраты членов ВТК'!$F$464:$F$713,'Трудозатраты членов ВТК'!$D$464:$D$713,B:B),"-")</f>
        <v>0</v>
      </c>
      <c r="K37" s="351" t="str">
        <f>IFERROR(ROUND($J37*VLOOKUP($H37,Расценка!$C$3:$E$12,3,FALSE),2),"-")</f>
        <v>-</v>
      </c>
      <c r="L37" s="638"/>
      <c r="M37" s="351">
        <f>IFERROR(SUMIFS('Трудозатраты членов ВТК'!$G$17:$G$117,'Трудозатраты членов ВТК'!$D$17:$D$117,B:B),"-")</f>
        <v>0</v>
      </c>
      <c r="N37" s="351">
        <f>IFERROR(SUMIFS('Трудозатраты членов ВТК'!$F$464:$F$713,'Трудозатраты членов ВТК'!$D$464:$D$713,B:B),"-")</f>
        <v>0</v>
      </c>
      <c r="O37" s="639"/>
      <c r="P37" s="351">
        <f>IFERROR(ROUND(IF('Состав ВТК'!$K33=справочник!$A$5,$N37*VLOOKUP($L37,Расценка!$C$3:$E$12,3,FALSE)*$O37,0),2),"-")</f>
        <v>0</v>
      </c>
    </row>
    <row r="38" spans="1:16" ht="15.75" x14ac:dyDescent="0.25">
      <c r="A38" s="247">
        <v>26</v>
      </c>
      <c r="B38" s="349">
        <f>'Состав ВТК'!$B34</f>
        <v>0</v>
      </c>
      <c r="C38" s="349" t="str">
        <f>IFERROR(VLOOKUP($B38,'Состав ВТК'!$B$9:$J$109,3,FALSE),"-")</f>
        <v>-</v>
      </c>
      <c r="D38" s="247" t="str">
        <f>IFERROR(VLOOKUP($B38,'Состав ВТК'!$B$9:$J$109,7,FALSE),"-")</f>
        <v>-</v>
      </c>
      <c r="E38" s="247" t="str">
        <f>IFERROR(VLOOKUP($B38,'Состав ВТК'!$B$9:$J$109,8,FALSE),"-")</f>
        <v>-</v>
      </c>
      <c r="F38" s="247" t="str">
        <f>IFERROR(VLOOKUP($B38,'Состав ВТК'!$B$9:$G$109,6,FALSE),"-")</f>
        <v>-</v>
      </c>
      <c r="G38" s="247" t="str">
        <f>IFERROR(VLOOKUP($B38,'Состав ВТК'!$B$9:$J$109,9,FALSE),"-")</f>
        <v>-</v>
      </c>
      <c r="H38" s="350" t="str">
        <f>IFERROR(VLOOKUP($C38,Расценка!$N$3:$O$543,2,FALSE),"-")</f>
        <v>-</v>
      </c>
      <c r="I38" s="351">
        <f>IFERROR(SUMIFS('Трудозатраты членов ВТК'!$G$17:$G$117,'Трудозатраты членов ВТК'!$D$17:$D$117,B:B),"-")</f>
        <v>0</v>
      </c>
      <c r="J38" s="351">
        <f>IFERROR(SUMIFS('Трудозатраты членов ВТК'!$F$464:$F$713,'Трудозатраты членов ВТК'!$D$464:$D$713,B:B),"-")</f>
        <v>0</v>
      </c>
      <c r="K38" s="351" t="str">
        <f>IFERROR(ROUND($J38*VLOOKUP($H38,Расценка!$C$3:$E$12,3,FALSE),2),"-")</f>
        <v>-</v>
      </c>
      <c r="L38" s="638"/>
      <c r="M38" s="351">
        <f>IFERROR(SUMIFS('Трудозатраты членов ВТК'!$G$17:$G$117,'Трудозатраты членов ВТК'!$D$17:$D$117,B:B),"-")</f>
        <v>0</v>
      </c>
      <c r="N38" s="351">
        <f>IFERROR(SUMIFS('Трудозатраты членов ВТК'!$F$464:$F$713,'Трудозатраты членов ВТК'!$D$464:$D$713,B:B),"-")</f>
        <v>0</v>
      </c>
      <c r="O38" s="639"/>
      <c r="P38" s="351">
        <f>IFERROR(ROUND(IF('Состав ВТК'!$K34=справочник!$A$5,$N38*VLOOKUP($L38,Расценка!$C$3:$E$12,3,FALSE)*$O38,0),2),"-")</f>
        <v>0</v>
      </c>
    </row>
    <row r="39" spans="1:16" ht="15.75" x14ac:dyDescent="0.25">
      <c r="A39" s="247">
        <v>27</v>
      </c>
      <c r="B39" s="349">
        <f>'Состав ВТК'!$B35</f>
        <v>0</v>
      </c>
      <c r="C39" s="349" t="str">
        <f>IFERROR(VLOOKUP($B39,'Состав ВТК'!$B$9:$J$109,3,FALSE),"-")</f>
        <v>-</v>
      </c>
      <c r="D39" s="247" t="str">
        <f>IFERROR(VLOOKUP($B39,'Состав ВТК'!$B$9:$J$109,7,FALSE),"-")</f>
        <v>-</v>
      </c>
      <c r="E39" s="247" t="str">
        <f>IFERROR(VLOOKUP($B39,'Состав ВТК'!$B$9:$J$109,8,FALSE),"-")</f>
        <v>-</v>
      </c>
      <c r="F39" s="247" t="str">
        <f>IFERROR(VLOOKUP($B39,'Состав ВТК'!$B$9:$G$109,6,FALSE),"-")</f>
        <v>-</v>
      </c>
      <c r="G39" s="247" t="str">
        <f>IFERROR(VLOOKUP($B39,'Состав ВТК'!$B$9:$J$109,9,FALSE),"-")</f>
        <v>-</v>
      </c>
      <c r="H39" s="350" t="str">
        <f>IFERROR(VLOOKUP($C39,Расценка!$N$3:$O$543,2,FALSE),"-")</f>
        <v>-</v>
      </c>
      <c r="I39" s="351">
        <f>IFERROR(SUMIFS('Трудозатраты членов ВТК'!$G$17:$G$117,'Трудозатраты членов ВТК'!$D$17:$D$117,B:B),"-")</f>
        <v>0</v>
      </c>
      <c r="J39" s="351">
        <f>IFERROR(SUMIFS('Трудозатраты членов ВТК'!$F$464:$F$713,'Трудозатраты членов ВТК'!$D$464:$D$713,B:B),"-")</f>
        <v>0</v>
      </c>
      <c r="K39" s="351" t="str">
        <f>IFERROR(ROUND($J39*VLOOKUP($H39,Расценка!$C$3:$E$12,3,FALSE),2),"-")</f>
        <v>-</v>
      </c>
      <c r="L39" s="638"/>
      <c r="M39" s="351">
        <f>IFERROR(SUMIFS('Трудозатраты членов ВТК'!$G$17:$G$117,'Трудозатраты членов ВТК'!$D$17:$D$117,B:B),"-")</f>
        <v>0</v>
      </c>
      <c r="N39" s="351">
        <f>IFERROR(SUMIFS('Трудозатраты членов ВТК'!$F$464:$F$713,'Трудозатраты членов ВТК'!$D$464:$D$713,B:B),"-")</f>
        <v>0</v>
      </c>
      <c r="O39" s="639"/>
      <c r="P39" s="351">
        <f>IFERROR(ROUND(IF('Состав ВТК'!$K35=справочник!$A$5,$N39*VLOOKUP($L39,Расценка!$C$3:$E$12,3,FALSE)*$O39,0),2),"-")</f>
        <v>0</v>
      </c>
    </row>
    <row r="40" spans="1:16" ht="15.75" x14ac:dyDescent="0.25">
      <c r="A40" s="247">
        <v>28</v>
      </c>
      <c r="B40" s="349">
        <f>'Состав ВТК'!$B36</f>
        <v>0</v>
      </c>
      <c r="C40" s="349" t="str">
        <f>IFERROR(VLOOKUP($B40,'Состав ВТК'!$B$9:$J$109,3,FALSE),"-")</f>
        <v>-</v>
      </c>
      <c r="D40" s="247" t="str">
        <f>IFERROR(VLOOKUP($B40,'Состав ВТК'!$B$9:$J$109,7,FALSE),"-")</f>
        <v>-</v>
      </c>
      <c r="E40" s="247" t="str">
        <f>IFERROR(VLOOKUP($B40,'Состав ВТК'!$B$9:$J$109,8,FALSE),"-")</f>
        <v>-</v>
      </c>
      <c r="F40" s="247" t="str">
        <f>IFERROR(VLOOKUP($B40,'Состав ВТК'!$B$9:$G$109,6,FALSE),"-")</f>
        <v>-</v>
      </c>
      <c r="G40" s="247" t="str">
        <f>IFERROR(VLOOKUP($B40,'Состав ВТК'!$B$9:$J$109,9,FALSE),"-")</f>
        <v>-</v>
      </c>
      <c r="H40" s="350" t="str">
        <f>IFERROR(VLOOKUP($C40,Расценка!$N$3:$O$543,2,FALSE),"-")</f>
        <v>-</v>
      </c>
      <c r="I40" s="351">
        <f>IFERROR(SUMIFS('Трудозатраты членов ВТК'!$G$17:$G$117,'Трудозатраты членов ВТК'!$D$17:$D$117,B:B),"-")</f>
        <v>0</v>
      </c>
      <c r="J40" s="351">
        <f>IFERROR(SUMIFS('Трудозатраты членов ВТК'!$F$464:$F$713,'Трудозатраты членов ВТК'!$D$464:$D$713,B:B),"-")</f>
        <v>0</v>
      </c>
      <c r="K40" s="351" t="str">
        <f>IFERROR(ROUND($J40*VLOOKUP($H40,Расценка!$C$3:$E$12,3,FALSE),2),"-")</f>
        <v>-</v>
      </c>
      <c r="L40" s="638"/>
      <c r="M40" s="351">
        <f>IFERROR(SUMIFS('Трудозатраты членов ВТК'!$G$17:$G$117,'Трудозатраты членов ВТК'!$D$17:$D$117,B:B),"-")</f>
        <v>0</v>
      </c>
      <c r="N40" s="351">
        <f>IFERROR(SUMIFS('Трудозатраты членов ВТК'!$F$464:$F$713,'Трудозатраты членов ВТК'!$D$464:$D$713,B:B),"-")</f>
        <v>0</v>
      </c>
      <c r="O40" s="639"/>
      <c r="P40" s="351">
        <f>IFERROR(ROUND(IF('Состав ВТК'!$K36=справочник!$A$5,$N40*VLOOKUP($L40,Расценка!$C$3:$E$12,3,FALSE)*$O40,0),2),"-")</f>
        <v>0</v>
      </c>
    </row>
    <row r="41" spans="1:16" ht="15.75" x14ac:dyDescent="0.25">
      <c r="A41" s="247">
        <v>29</v>
      </c>
      <c r="B41" s="349">
        <f>'Состав ВТК'!$B37</f>
        <v>0</v>
      </c>
      <c r="C41" s="349" t="str">
        <f>IFERROR(VLOOKUP($B41,'Состав ВТК'!$B$9:$J$109,3,FALSE),"-")</f>
        <v>-</v>
      </c>
      <c r="D41" s="247" t="str">
        <f>IFERROR(VLOOKUP($B41,'Состав ВТК'!$B$9:$J$109,7,FALSE),"-")</f>
        <v>-</v>
      </c>
      <c r="E41" s="247" t="str">
        <f>IFERROR(VLOOKUP($B41,'Состав ВТК'!$B$9:$J$109,8,FALSE),"-")</f>
        <v>-</v>
      </c>
      <c r="F41" s="247" t="str">
        <f>IFERROR(VLOOKUP($B41,'Состав ВТК'!$B$9:$G$109,6,FALSE),"-")</f>
        <v>-</v>
      </c>
      <c r="G41" s="247" t="str">
        <f>IFERROR(VLOOKUP($B41,'Состав ВТК'!$B$9:$J$109,9,FALSE),"-")</f>
        <v>-</v>
      </c>
      <c r="H41" s="350" t="str">
        <f>IFERROR(VLOOKUP($C41,Расценка!$N$3:$O$543,2,FALSE),"-")</f>
        <v>-</v>
      </c>
      <c r="I41" s="351">
        <f>IFERROR(SUMIFS('Трудозатраты членов ВТК'!$G$17:$G$117,'Трудозатраты членов ВТК'!$D$17:$D$117,B:B),"-")</f>
        <v>0</v>
      </c>
      <c r="J41" s="351">
        <f>IFERROR(SUMIFS('Трудозатраты членов ВТК'!$F$464:$F$713,'Трудозатраты членов ВТК'!$D$464:$D$713,B:B),"-")</f>
        <v>0</v>
      </c>
      <c r="K41" s="351" t="str">
        <f>IFERROR(ROUND($J41*VLOOKUP($H41,Расценка!$C$3:$E$12,3,FALSE),2),"-")</f>
        <v>-</v>
      </c>
      <c r="L41" s="638"/>
      <c r="M41" s="351">
        <f>IFERROR(SUMIFS('Трудозатраты членов ВТК'!$G$17:$G$117,'Трудозатраты членов ВТК'!$D$17:$D$117,B:B),"-")</f>
        <v>0</v>
      </c>
      <c r="N41" s="351">
        <f>IFERROR(SUMIFS('Трудозатраты членов ВТК'!$F$464:$F$713,'Трудозатраты членов ВТК'!$D$464:$D$713,B:B),"-")</f>
        <v>0</v>
      </c>
      <c r="O41" s="639"/>
      <c r="P41" s="351">
        <f>IFERROR(ROUND(IF('Состав ВТК'!$K37=справочник!$A$5,$N41*VLOOKUP($L41,Расценка!$C$3:$E$12,3,FALSE)*$O41,0),2),"-")</f>
        <v>0</v>
      </c>
    </row>
    <row r="42" spans="1:16" ht="15.75" x14ac:dyDescent="0.25">
      <c r="A42" s="247">
        <v>30</v>
      </c>
      <c r="B42" s="349">
        <f>'Состав ВТК'!$B38</f>
        <v>0</v>
      </c>
      <c r="C42" s="349" t="str">
        <f>IFERROR(VLOOKUP($B42,'Состав ВТК'!$B$9:$J$109,3,FALSE),"-")</f>
        <v>-</v>
      </c>
      <c r="D42" s="247" t="str">
        <f>IFERROR(VLOOKUP($B42,'Состав ВТК'!$B$9:$J$109,7,FALSE),"-")</f>
        <v>-</v>
      </c>
      <c r="E42" s="247" t="str">
        <f>IFERROR(VLOOKUP($B42,'Состав ВТК'!$B$9:$J$109,8,FALSE),"-")</f>
        <v>-</v>
      </c>
      <c r="F42" s="247" t="str">
        <f>IFERROR(VLOOKUP($B42,'Состав ВТК'!$B$9:$G$109,6,FALSE),"-")</f>
        <v>-</v>
      </c>
      <c r="G42" s="247" t="str">
        <f>IFERROR(VLOOKUP($B42,'Состав ВТК'!$B$9:$J$109,9,FALSE),"-")</f>
        <v>-</v>
      </c>
      <c r="H42" s="350" t="str">
        <f>IFERROR(VLOOKUP($C42,Расценка!$N$3:$O$543,2,FALSE),"-")</f>
        <v>-</v>
      </c>
      <c r="I42" s="351">
        <f>IFERROR(SUMIFS('Трудозатраты членов ВТК'!$G$17:$G$117,'Трудозатраты членов ВТК'!$D$17:$D$117,B:B),"-")</f>
        <v>0</v>
      </c>
      <c r="J42" s="351">
        <f>IFERROR(SUMIFS('Трудозатраты членов ВТК'!$F$464:$F$713,'Трудозатраты членов ВТК'!$D$464:$D$713,B:B),"-")</f>
        <v>0</v>
      </c>
      <c r="K42" s="351" t="str">
        <f>IFERROR(ROUND($J42*VLOOKUP($H42,Расценка!$C$3:$E$12,3,FALSE),2),"-")</f>
        <v>-</v>
      </c>
      <c r="L42" s="638"/>
      <c r="M42" s="351">
        <f>IFERROR(SUMIFS('Трудозатраты членов ВТК'!$G$17:$G$117,'Трудозатраты членов ВТК'!$D$17:$D$117,B:B),"-")</f>
        <v>0</v>
      </c>
      <c r="N42" s="351">
        <f>IFERROR(SUMIFS('Трудозатраты членов ВТК'!$F$464:$F$713,'Трудозатраты членов ВТК'!$D$464:$D$713,B:B),"-")</f>
        <v>0</v>
      </c>
      <c r="O42" s="639"/>
      <c r="P42" s="351">
        <f>IFERROR(ROUND(IF('Состав ВТК'!$K38=справочник!$A$5,$N42*VLOOKUP($L42,Расценка!$C$3:$E$12,3,FALSE)*$O42,0),2),"-")</f>
        <v>0</v>
      </c>
    </row>
    <row r="43" spans="1:16" ht="15.75" x14ac:dyDescent="0.25">
      <c r="A43" s="247">
        <v>31</v>
      </c>
      <c r="B43" s="349">
        <f>'Состав ВТК'!$B39</f>
        <v>0</v>
      </c>
      <c r="C43" s="349" t="str">
        <f>IFERROR(VLOOKUP($B43,'Состав ВТК'!$B$9:$J$109,3,FALSE),"-")</f>
        <v>-</v>
      </c>
      <c r="D43" s="247" t="str">
        <f>IFERROR(VLOOKUP($B43,'Состав ВТК'!$B$9:$J$109,7,FALSE),"-")</f>
        <v>-</v>
      </c>
      <c r="E43" s="247" t="str">
        <f>IFERROR(VLOOKUP($B43,'Состав ВТК'!$B$9:$J$109,8,FALSE),"-")</f>
        <v>-</v>
      </c>
      <c r="F43" s="247" t="str">
        <f>IFERROR(VLOOKUP($B43,'Состав ВТК'!$B$9:$G$109,6,FALSE),"-")</f>
        <v>-</v>
      </c>
      <c r="G43" s="247" t="str">
        <f>IFERROR(VLOOKUP($B43,'Состав ВТК'!$B$9:$J$109,9,FALSE),"-")</f>
        <v>-</v>
      </c>
      <c r="H43" s="350" t="str">
        <f>IFERROR(VLOOKUP($C43,Расценка!$N$3:$O$543,2,FALSE),"-")</f>
        <v>-</v>
      </c>
      <c r="I43" s="351">
        <f>IFERROR(SUMIFS('Трудозатраты членов ВТК'!$G$17:$G$117,'Трудозатраты членов ВТК'!$D$17:$D$117,B:B),"-")</f>
        <v>0</v>
      </c>
      <c r="J43" s="351">
        <f>IFERROR(SUMIFS('Трудозатраты членов ВТК'!$F$464:$F$713,'Трудозатраты членов ВТК'!$D$464:$D$713,B:B),"-")</f>
        <v>0</v>
      </c>
      <c r="K43" s="351" t="str">
        <f>IFERROR(ROUND($J43*VLOOKUP($H43,Расценка!$C$3:$E$12,3,FALSE),2),"-")</f>
        <v>-</v>
      </c>
      <c r="L43" s="638"/>
      <c r="M43" s="351">
        <f>IFERROR(SUMIFS('Трудозатраты членов ВТК'!$G$17:$G$117,'Трудозатраты членов ВТК'!$D$17:$D$117,B:B),"-")</f>
        <v>0</v>
      </c>
      <c r="N43" s="351">
        <f>IFERROR(SUMIFS('Трудозатраты членов ВТК'!$F$464:$F$713,'Трудозатраты членов ВТК'!$D$464:$D$713,B:B),"-")</f>
        <v>0</v>
      </c>
      <c r="O43" s="639"/>
      <c r="P43" s="351">
        <f>IFERROR(ROUND(IF('Состав ВТК'!$K39=справочник!$A$5,$N43*VLOOKUP($L43,Расценка!$C$3:$E$12,3,FALSE)*$O43,0),2),"-")</f>
        <v>0</v>
      </c>
    </row>
    <row r="44" spans="1:16" ht="15.75" x14ac:dyDescent="0.25">
      <c r="A44" s="247">
        <v>32</v>
      </c>
      <c r="B44" s="349">
        <f>'Состав ВТК'!$B40</f>
        <v>0</v>
      </c>
      <c r="C44" s="349" t="str">
        <f>IFERROR(VLOOKUP($B44,'Состав ВТК'!$B$9:$J$109,3,FALSE),"-")</f>
        <v>-</v>
      </c>
      <c r="D44" s="247" t="str">
        <f>IFERROR(VLOOKUP($B44,'Состав ВТК'!$B$9:$J$109,7,FALSE),"-")</f>
        <v>-</v>
      </c>
      <c r="E44" s="247" t="str">
        <f>IFERROR(VLOOKUP($B44,'Состав ВТК'!$B$9:$J$109,8,FALSE),"-")</f>
        <v>-</v>
      </c>
      <c r="F44" s="247" t="str">
        <f>IFERROR(VLOOKUP($B44,'Состав ВТК'!$B$9:$G$109,6,FALSE),"-")</f>
        <v>-</v>
      </c>
      <c r="G44" s="247" t="str">
        <f>IFERROR(VLOOKUP($B44,'Состав ВТК'!$B$9:$J$109,9,FALSE),"-")</f>
        <v>-</v>
      </c>
      <c r="H44" s="350" t="str">
        <f>IFERROR(VLOOKUP($C44,Расценка!$N$3:$O$543,2,FALSE),"-")</f>
        <v>-</v>
      </c>
      <c r="I44" s="351">
        <f>IFERROR(SUMIFS('Трудозатраты членов ВТК'!$G$17:$G$117,'Трудозатраты членов ВТК'!$D$17:$D$117,B:B),"-")</f>
        <v>0</v>
      </c>
      <c r="J44" s="351">
        <f>IFERROR(SUMIFS('Трудозатраты членов ВТК'!$F$464:$F$713,'Трудозатраты членов ВТК'!$D$464:$D$713,B:B),"-")</f>
        <v>0</v>
      </c>
      <c r="K44" s="351" t="str">
        <f>IFERROR(ROUND($J44*VLOOKUP($H44,Расценка!$C$3:$E$12,3,FALSE),2),"-")</f>
        <v>-</v>
      </c>
      <c r="L44" s="638"/>
      <c r="M44" s="351">
        <f>IFERROR(SUMIFS('Трудозатраты членов ВТК'!$G$17:$G$117,'Трудозатраты членов ВТК'!$D$17:$D$117,B:B),"-")</f>
        <v>0</v>
      </c>
      <c r="N44" s="351">
        <f>IFERROR(SUMIFS('Трудозатраты членов ВТК'!$F$464:$F$713,'Трудозатраты членов ВТК'!$D$464:$D$713,B:B),"-")</f>
        <v>0</v>
      </c>
      <c r="O44" s="639"/>
      <c r="P44" s="351">
        <f>IFERROR(ROUND(IF('Состав ВТК'!$K40=справочник!$A$5,$N44*VLOOKUP($L44,Расценка!$C$3:$E$12,3,FALSE)*$O44,0),2),"-")</f>
        <v>0</v>
      </c>
    </row>
    <row r="45" spans="1:16" ht="15.75" x14ac:dyDescent="0.25">
      <c r="A45" s="247">
        <v>33</v>
      </c>
      <c r="B45" s="349">
        <f>'Состав ВТК'!$B41</f>
        <v>0</v>
      </c>
      <c r="C45" s="349" t="str">
        <f>IFERROR(VLOOKUP($B45,'Состав ВТК'!$B$9:$J$109,3,FALSE),"-")</f>
        <v>-</v>
      </c>
      <c r="D45" s="247" t="str">
        <f>IFERROR(VLOOKUP($B45,'Состав ВТК'!$B$9:$J$109,7,FALSE),"-")</f>
        <v>-</v>
      </c>
      <c r="E45" s="247" t="str">
        <f>IFERROR(VLOOKUP($B45,'Состав ВТК'!$B$9:$J$109,8,FALSE),"-")</f>
        <v>-</v>
      </c>
      <c r="F45" s="247" t="str">
        <f>IFERROR(VLOOKUP($B45,'Состав ВТК'!$B$9:$G$109,6,FALSE),"-")</f>
        <v>-</v>
      </c>
      <c r="G45" s="247" t="str">
        <f>IFERROR(VLOOKUP($B45,'Состав ВТК'!$B$9:$J$109,9,FALSE),"-")</f>
        <v>-</v>
      </c>
      <c r="H45" s="350" t="str">
        <f>IFERROR(VLOOKUP($C45,Расценка!$N$3:$O$543,2,FALSE),"-")</f>
        <v>-</v>
      </c>
      <c r="I45" s="351">
        <f>IFERROR(SUMIFS('Трудозатраты членов ВТК'!$G$17:$G$117,'Трудозатраты членов ВТК'!$D$17:$D$117,B:B),"-")</f>
        <v>0</v>
      </c>
      <c r="J45" s="351">
        <f>IFERROR(SUMIFS('Трудозатраты членов ВТК'!$F$464:$F$713,'Трудозатраты членов ВТК'!$D$464:$D$713,B:B),"-")</f>
        <v>0</v>
      </c>
      <c r="K45" s="351" t="str">
        <f>IFERROR(ROUND($J45*VLOOKUP($H45,Расценка!$C$3:$E$12,3,FALSE),2),"-")</f>
        <v>-</v>
      </c>
      <c r="L45" s="638"/>
      <c r="M45" s="351">
        <f>IFERROR(SUMIFS('Трудозатраты членов ВТК'!$G$17:$G$117,'Трудозатраты членов ВТК'!$D$17:$D$117,B:B),"-")</f>
        <v>0</v>
      </c>
      <c r="N45" s="351">
        <f>IFERROR(SUMIFS('Трудозатраты членов ВТК'!$F$464:$F$713,'Трудозатраты членов ВТК'!$D$464:$D$713,B:B),"-")</f>
        <v>0</v>
      </c>
      <c r="O45" s="639"/>
      <c r="P45" s="351">
        <f>IFERROR(ROUND(IF('Состав ВТК'!$K41=справочник!$A$5,$N45*VLOOKUP($L45,Расценка!$C$3:$E$12,3,FALSE)*$O45,0),2),"-")</f>
        <v>0</v>
      </c>
    </row>
    <row r="46" spans="1:16" ht="15.75" x14ac:dyDescent="0.25">
      <c r="A46" s="247">
        <v>34</v>
      </c>
      <c r="B46" s="349">
        <f>'Состав ВТК'!$B42</f>
        <v>0</v>
      </c>
      <c r="C46" s="349" t="str">
        <f>IFERROR(VLOOKUP($B46,'Состав ВТК'!$B$9:$J$109,3,FALSE),"-")</f>
        <v>-</v>
      </c>
      <c r="D46" s="247" t="str">
        <f>IFERROR(VLOOKUP($B46,'Состав ВТК'!$B$9:$J$109,7,FALSE),"-")</f>
        <v>-</v>
      </c>
      <c r="E46" s="247" t="str">
        <f>IFERROR(VLOOKUP($B46,'Состав ВТК'!$B$9:$J$109,8,FALSE),"-")</f>
        <v>-</v>
      </c>
      <c r="F46" s="247" t="str">
        <f>IFERROR(VLOOKUP($B46,'Состав ВТК'!$B$9:$G$109,6,FALSE),"-")</f>
        <v>-</v>
      </c>
      <c r="G46" s="247" t="str">
        <f>IFERROR(VLOOKUP($B46,'Состав ВТК'!$B$9:$J$109,9,FALSE),"-")</f>
        <v>-</v>
      </c>
      <c r="H46" s="350" t="str">
        <f>IFERROR(VLOOKUP($C46,Расценка!$N$3:$O$543,2,FALSE),"-")</f>
        <v>-</v>
      </c>
      <c r="I46" s="351">
        <f>IFERROR(SUMIFS('Трудозатраты членов ВТК'!$G$17:$G$117,'Трудозатраты членов ВТК'!$D$17:$D$117,B:B),"-")</f>
        <v>0</v>
      </c>
      <c r="J46" s="351">
        <f>IFERROR(SUMIFS('Трудозатраты членов ВТК'!$F$464:$F$713,'Трудозатраты членов ВТК'!$D$464:$D$713,B:B),"-")</f>
        <v>0</v>
      </c>
      <c r="K46" s="351" t="str">
        <f>IFERROR(ROUND($J46*VLOOKUP($H46,Расценка!$C$3:$E$12,3,FALSE),2),"-")</f>
        <v>-</v>
      </c>
      <c r="L46" s="638"/>
      <c r="M46" s="351">
        <f>IFERROR(SUMIFS('Трудозатраты членов ВТК'!$G$17:$G$117,'Трудозатраты членов ВТК'!$D$17:$D$117,B:B),"-")</f>
        <v>0</v>
      </c>
      <c r="N46" s="351">
        <f>IFERROR(SUMIFS('Трудозатраты членов ВТК'!$F$464:$F$713,'Трудозатраты членов ВТК'!$D$464:$D$713,B:B),"-")</f>
        <v>0</v>
      </c>
      <c r="O46" s="639"/>
      <c r="P46" s="351">
        <f>IFERROR(ROUND(IF('Состав ВТК'!$K42=справочник!$A$5,$N46*VLOOKUP($L46,Расценка!$C$3:$E$12,3,FALSE)*$O46,0),2),"-")</f>
        <v>0</v>
      </c>
    </row>
    <row r="47" spans="1:16" ht="15.75" x14ac:dyDescent="0.25">
      <c r="A47" s="247">
        <v>35</v>
      </c>
      <c r="B47" s="349">
        <f>'Состав ВТК'!$B43</f>
        <v>0</v>
      </c>
      <c r="C47" s="349" t="str">
        <f>IFERROR(VLOOKUP($B47,'Состав ВТК'!$B$9:$J$109,3,FALSE),"-")</f>
        <v>-</v>
      </c>
      <c r="D47" s="247" t="str">
        <f>IFERROR(VLOOKUP($B47,'Состав ВТК'!$B$9:$J$109,7,FALSE),"-")</f>
        <v>-</v>
      </c>
      <c r="E47" s="247" t="str">
        <f>IFERROR(VLOOKUP($B47,'Состав ВТК'!$B$9:$J$109,8,FALSE),"-")</f>
        <v>-</v>
      </c>
      <c r="F47" s="247" t="str">
        <f>IFERROR(VLOOKUP($B47,'Состав ВТК'!$B$9:$G$109,6,FALSE),"-")</f>
        <v>-</v>
      </c>
      <c r="G47" s="247" t="str">
        <f>IFERROR(VLOOKUP($B47,'Состав ВТК'!$B$9:$J$109,9,FALSE),"-")</f>
        <v>-</v>
      </c>
      <c r="H47" s="350" t="str">
        <f>IFERROR(VLOOKUP($C47,Расценка!$N$3:$O$543,2,FALSE),"-")</f>
        <v>-</v>
      </c>
      <c r="I47" s="351">
        <f>IFERROR(SUMIFS('Трудозатраты членов ВТК'!$G$17:$G$117,'Трудозатраты членов ВТК'!$D$17:$D$117,B:B),"-")</f>
        <v>0</v>
      </c>
      <c r="J47" s="351">
        <f>IFERROR(SUMIFS('Трудозатраты членов ВТК'!$F$464:$F$713,'Трудозатраты членов ВТК'!$D$464:$D$713,B:B),"-")</f>
        <v>0</v>
      </c>
      <c r="K47" s="351" t="str">
        <f>IFERROR(ROUND($J47*VLOOKUP($H47,Расценка!$C$3:$E$12,3,FALSE),2),"-")</f>
        <v>-</v>
      </c>
      <c r="L47" s="638"/>
      <c r="M47" s="351">
        <f>IFERROR(SUMIFS('Трудозатраты членов ВТК'!$G$17:$G$117,'Трудозатраты членов ВТК'!$D$17:$D$117,B:B),"-")</f>
        <v>0</v>
      </c>
      <c r="N47" s="351">
        <f>IFERROR(SUMIFS('Трудозатраты членов ВТК'!$F$464:$F$713,'Трудозатраты членов ВТК'!$D$464:$D$713,B:B),"-")</f>
        <v>0</v>
      </c>
      <c r="O47" s="639"/>
      <c r="P47" s="351">
        <f>IFERROR(ROUND(IF('Состав ВТК'!$K43=справочник!$A$5,$N47*VLOOKUP($L47,Расценка!$C$3:$E$12,3,FALSE)*$O47,0),2),"-")</f>
        <v>0</v>
      </c>
    </row>
    <row r="48" spans="1:16" ht="15.75" x14ac:dyDescent="0.25">
      <c r="A48" s="247">
        <v>36</v>
      </c>
      <c r="B48" s="349">
        <f>'Состав ВТК'!$B44</f>
        <v>0</v>
      </c>
      <c r="C48" s="349" t="str">
        <f>IFERROR(VLOOKUP($B48,'Состав ВТК'!$B$9:$J$109,3,FALSE),"-")</f>
        <v>-</v>
      </c>
      <c r="D48" s="247" t="str">
        <f>IFERROR(VLOOKUP($B48,'Состав ВТК'!$B$9:$J$109,7,FALSE),"-")</f>
        <v>-</v>
      </c>
      <c r="E48" s="247" t="str">
        <f>IFERROR(VLOOKUP($B48,'Состав ВТК'!$B$9:$J$109,8,FALSE),"-")</f>
        <v>-</v>
      </c>
      <c r="F48" s="247" t="str">
        <f>IFERROR(VLOOKUP($B48,'Состав ВТК'!$B$9:$G$109,6,FALSE),"-")</f>
        <v>-</v>
      </c>
      <c r="G48" s="247" t="str">
        <f>IFERROR(VLOOKUP($B48,'Состав ВТК'!$B$9:$J$109,9,FALSE),"-")</f>
        <v>-</v>
      </c>
      <c r="H48" s="350" t="str">
        <f>IFERROR(VLOOKUP($C48,Расценка!$N$3:$O$543,2,FALSE),"-")</f>
        <v>-</v>
      </c>
      <c r="I48" s="351">
        <f>IFERROR(SUMIFS('Трудозатраты членов ВТК'!$G$17:$G$117,'Трудозатраты членов ВТК'!$D$17:$D$117,B:B),"-")</f>
        <v>0</v>
      </c>
      <c r="J48" s="351">
        <f>IFERROR(SUMIFS('Трудозатраты членов ВТК'!$F$464:$F$713,'Трудозатраты членов ВТК'!$D$464:$D$713,B:B),"-")</f>
        <v>0</v>
      </c>
      <c r="K48" s="351" t="str">
        <f>IFERROR(ROUND($J48*VLOOKUP($H48,Расценка!$C$3:$E$12,3,FALSE),2),"-")</f>
        <v>-</v>
      </c>
      <c r="L48" s="638"/>
      <c r="M48" s="351">
        <f>IFERROR(SUMIFS('Трудозатраты членов ВТК'!$G$17:$G$117,'Трудозатраты членов ВТК'!$D$17:$D$117,B:B),"-")</f>
        <v>0</v>
      </c>
      <c r="N48" s="351">
        <f>IFERROR(SUMIFS('Трудозатраты членов ВТК'!$F$464:$F$713,'Трудозатраты членов ВТК'!$D$464:$D$713,B:B),"-")</f>
        <v>0</v>
      </c>
      <c r="O48" s="639"/>
      <c r="P48" s="351">
        <f>IFERROR(ROUND(IF('Состав ВТК'!$K44=справочник!$A$5,$N48*VLOOKUP($L48,Расценка!$C$3:$E$12,3,FALSE)*$O48,0),2),"-")</f>
        <v>0</v>
      </c>
    </row>
    <row r="49" spans="1:16" ht="15.75" x14ac:dyDescent="0.25">
      <c r="A49" s="247">
        <v>37</v>
      </c>
      <c r="B49" s="349">
        <f>'Состав ВТК'!$B45</f>
        <v>0</v>
      </c>
      <c r="C49" s="349" t="str">
        <f>IFERROR(VLOOKUP($B49,'Состав ВТК'!$B$9:$J$109,3,FALSE),"-")</f>
        <v>-</v>
      </c>
      <c r="D49" s="247" t="str">
        <f>IFERROR(VLOOKUP($B49,'Состав ВТК'!$B$9:$J$109,7,FALSE),"-")</f>
        <v>-</v>
      </c>
      <c r="E49" s="247" t="str">
        <f>IFERROR(VLOOKUP($B49,'Состав ВТК'!$B$9:$J$109,8,FALSE),"-")</f>
        <v>-</v>
      </c>
      <c r="F49" s="247" t="str">
        <f>IFERROR(VLOOKUP($B49,'Состав ВТК'!$B$9:$G$109,6,FALSE),"-")</f>
        <v>-</v>
      </c>
      <c r="G49" s="247" t="str">
        <f>IFERROR(VLOOKUP($B49,'Состав ВТК'!$B$9:$J$109,9,FALSE),"-")</f>
        <v>-</v>
      </c>
      <c r="H49" s="350" t="str">
        <f>IFERROR(VLOOKUP($C49,Расценка!$N$3:$O$543,2,FALSE),"-")</f>
        <v>-</v>
      </c>
      <c r="I49" s="351">
        <f>IFERROR(SUMIFS('Трудозатраты членов ВТК'!$G$17:$G$117,'Трудозатраты членов ВТК'!$D$17:$D$117,B:B),"-")</f>
        <v>0</v>
      </c>
      <c r="J49" s="351">
        <f>IFERROR(SUMIFS('Трудозатраты членов ВТК'!$F$464:$F$713,'Трудозатраты членов ВТК'!$D$464:$D$713,B:B),"-")</f>
        <v>0</v>
      </c>
      <c r="K49" s="351" t="str">
        <f>IFERROR(ROUND($J49*VLOOKUP($H49,Расценка!$C$3:$E$12,3,FALSE),2),"-")</f>
        <v>-</v>
      </c>
      <c r="L49" s="638"/>
      <c r="M49" s="351">
        <f>IFERROR(SUMIFS('Трудозатраты членов ВТК'!$G$17:$G$117,'Трудозатраты членов ВТК'!$D$17:$D$117,B:B),"-")</f>
        <v>0</v>
      </c>
      <c r="N49" s="351">
        <f>IFERROR(SUMIFS('Трудозатраты членов ВТК'!$F$464:$F$713,'Трудозатраты членов ВТК'!$D$464:$D$713,B:B),"-")</f>
        <v>0</v>
      </c>
      <c r="O49" s="639"/>
      <c r="P49" s="351">
        <f>IFERROR(ROUND(IF('Состав ВТК'!$K45=справочник!$A$5,$N49*VLOOKUP($L49,Расценка!$C$3:$E$12,3,FALSE)*$O49,0),2),"-")</f>
        <v>0</v>
      </c>
    </row>
    <row r="50" spans="1:16" ht="15.75" x14ac:dyDescent="0.25">
      <c r="A50" s="247">
        <v>38</v>
      </c>
      <c r="B50" s="349">
        <f>'Состав ВТК'!$B46</f>
        <v>0</v>
      </c>
      <c r="C50" s="349" t="str">
        <f>IFERROR(VLOOKUP($B50,'Состав ВТК'!$B$9:$J$109,3,FALSE),"-")</f>
        <v>-</v>
      </c>
      <c r="D50" s="247" t="str">
        <f>IFERROR(VLOOKUP($B50,'Состав ВТК'!$B$9:$J$109,7,FALSE),"-")</f>
        <v>-</v>
      </c>
      <c r="E50" s="247" t="str">
        <f>IFERROR(VLOOKUP($B50,'Состав ВТК'!$B$9:$J$109,8,FALSE),"-")</f>
        <v>-</v>
      </c>
      <c r="F50" s="247" t="str">
        <f>IFERROR(VLOOKUP($B50,'Состав ВТК'!$B$9:$G$109,6,FALSE),"-")</f>
        <v>-</v>
      </c>
      <c r="G50" s="247" t="str">
        <f>IFERROR(VLOOKUP($B50,'Состав ВТК'!$B$9:$J$109,9,FALSE),"-")</f>
        <v>-</v>
      </c>
      <c r="H50" s="350" t="str">
        <f>IFERROR(VLOOKUP($C50,Расценка!$N$3:$O$543,2,FALSE),"-")</f>
        <v>-</v>
      </c>
      <c r="I50" s="351">
        <f>IFERROR(SUMIFS('Трудозатраты членов ВТК'!$G$17:$G$117,'Трудозатраты членов ВТК'!$D$17:$D$117,B:B),"-")</f>
        <v>0</v>
      </c>
      <c r="J50" s="351">
        <f>IFERROR(SUMIFS('Трудозатраты членов ВТК'!$F$464:$F$713,'Трудозатраты членов ВТК'!$D$464:$D$713,B:B),"-")</f>
        <v>0</v>
      </c>
      <c r="K50" s="351" t="str">
        <f>IFERROR(ROUND($J50*VLOOKUP($H50,Расценка!$C$3:$E$12,3,FALSE),2),"-")</f>
        <v>-</v>
      </c>
      <c r="L50" s="638"/>
      <c r="M50" s="351">
        <f>IFERROR(SUMIFS('Трудозатраты членов ВТК'!$G$17:$G$117,'Трудозатраты членов ВТК'!$D$17:$D$117,B:B),"-")</f>
        <v>0</v>
      </c>
      <c r="N50" s="351">
        <f>IFERROR(SUMIFS('Трудозатраты членов ВТК'!$F$464:$F$713,'Трудозатраты членов ВТК'!$D$464:$D$713,B:B),"-")</f>
        <v>0</v>
      </c>
      <c r="O50" s="639"/>
      <c r="P50" s="351">
        <f>IFERROR(ROUND(IF('Состав ВТК'!$K46=справочник!$A$5,$N50*VLOOKUP($L50,Расценка!$C$3:$E$12,3,FALSE)*$O50,0),2),"-")</f>
        <v>0</v>
      </c>
    </row>
    <row r="51" spans="1:16" ht="15.75" x14ac:dyDescent="0.25">
      <c r="A51" s="247">
        <v>39</v>
      </c>
      <c r="B51" s="349">
        <f>'Состав ВТК'!$B47</f>
        <v>0</v>
      </c>
      <c r="C51" s="349" t="str">
        <f>IFERROR(VLOOKUP($B51,'Состав ВТК'!$B$9:$J$109,3,FALSE),"-")</f>
        <v>-</v>
      </c>
      <c r="D51" s="247" t="str">
        <f>IFERROR(VLOOKUP($B51,'Состав ВТК'!$B$9:$J$109,7,FALSE),"-")</f>
        <v>-</v>
      </c>
      <c r="E51" s="247" t="str">
        <f>IFERROR(VLOOKUP($B51,'Состав ВТК'!$B$9:$J$109,8,FALSE),"-")</f>
        <v>-</v>
      </c>
      <c r="F51" s="247" t="str">
        <f>IFERROR(VLOOKUP($B51,'Состав ВТК'!$B$9:$G$109,6,FALSE),"-")</f>
        <v>-</v>
      </c>
      <c r="G51" s="247" t="str">
        <f>IFERROR(VLOOKUP($B51,'Состав ВТК'!$B$9:$J$109,9,FALSE),"-")</f>
        <v>-</v>
      </c>
      <c r="H51" s="350" t="str">
        <f>IFERROR(VLOOKUP($C51,Расценка!$N$3:$O$543,2,FALSE),"-")</f>
        <v>-</v>
      </c>
      <c r="I51" s="351">
        <f>IFERROR(SUMIFS('Трудозатраты членов ВТК'!$G$17:$G$117,'Трудозатраты членов ВТК'!$D$17:$D$117,B:B),"-")</f>
        <v>0</v>
      </c>
      <c r="J51" s="351">
        <f>IFERROR(SUMIFS('Трудозатраты членов ВТК'!$F$464:$F$713,'Трудозатраты членов ВТК'!$D$464:$D$713,B:B),"-")</f>
        <v>0</v>
      </c>
      <c r="K51" s="351" t="str">
        <f>IFERROR(ROUND($J51*VLOOKUP($H51,Расценка!$C$3:$E$12,3,FALSE),2),"-")</f>
        <v>-</v>
      </c>
      <c r="L51" s="638"/>
      <c r="M51" s="351">
        <f>IFERROR(SUMIFS('Трудозатраты членов ВТК'!$G$17:$G$117,'Трудозатраты членов ВТК'!$D$17:$D$117,B:B),"-")</f>
        <v>0</v>
      </c>
      <c r="N51" s="351">
        <f>IFERROR(SUMIFS('Трудозатраты членов ВТК'!$F$464:$F$713,'Трудозатраты членов ВТК'!$D$464:$D$713,B:B),"-")</f>
        <v>0</v>
      </c>
      <c r="O51" s="639"/>
      <c r="P51" s="351">
        <f>IFERROR(ROUND(IF('Состав ВТК'!$K47=справочник!$A$5,$N51*VLOOKUP($L51,Расценка!$C$3:$E$12,3,FALSE)*$O51,0),2),"-")</f>
        <v>0</v>
      </c>
    </row>
    <row r="52" spans="1:16" ht="15.75" x14ac:dyDescent="0.25">
      <c r="A52" s="247">
        <v>40</v>
      </c>
      <c r="B52" s="349">
        <f>'Состав ВТК'!$B48</f>
        <v>0</v>
      </c>
      <c r="C52" s="349" t="str">
        <f>IFERROR(VLOOKUP($B52,'Состав ВТК'!$B$9:$J$109,3,FALSE),"-")</f>
        <v>-</v>
      </c>
      <c r="D52" s="247" t="str">
        <f>IFERROR(VLOOKUP($B52,'Состав ВТК'!$B$9:$J$109,7,FALSE),"-")</f>
        <v>-</v>
      </c>
      <c r="E52" s="247" t="str">
        <f>IFERROR(VLOOKUP($B52,'Состав ВТК'!$B$9:$J$109,8,FALSE),"-")</f>
        <v>-</v>
      </c>
      <c r="F52" s="247" t="str">
        <f>IFERROR(VLOOKUP($B52,'Состав ВТК'!$B$9:$G$109,6,FALSE),"-")</f>
        <v>-</v>
      </c>
      <c r="G52" s="247" t="str">
        <f>IFERROR(VLOOKUP($B52,'Состав ВТК'!$B$9:$J$109,9,FALSE),"-")</f>
        <v>-</v>
      </c>
      <c r="H52" s="350" t="str">
        <f>IFERROR(VLOOKUP($C52,Расценка!$N$3:$O$543,2,FALSE),"-")</f>
        <v>-</v>
      </c>
      <c r="I52" s="351">
        <f>IFERROR(SUMIFS('Трудозатраты членов ВТК'!$G$17:$G$117,'Трудозатраты членов ВТК'!$D$17:$D$117,B:B),"-")</f>
        <v>0</v>
      </c>
      <c r="J52" s="351">
        <f>IFERROR(SUMIFS('Трудозатраты членов ВТК'!$F$464:$F$713,'Трудозатраты членов ВТК'!$D$464:$D$713,B:B),"-")</f>
        <v>0</v>
      </c>
      <c r="K52" s="351" t="str">
        <f>IFERROR(ROUND($J52*VLOOKUP($H52,Расценка!$C$3:$E$12,3,FALSE),2),"-")</f>
        <v>-</v>
      </c>
      <c r="L52" s="638"/>
      <c r="M52" s="351">
        <f>IFERROR(SUMIFS('Трудозатраты членов ВТК'!$G$17:$G$117,'Трудозатраты членов ВТК'!$D$17:$D$117,B:B),"-")</f>
        <v>0</v>
      </c>
      <c r="N52" s="351">
        <f>IFERROR(SUMIFS('Трудозатраты членов ВТК'!$F$464:$F$713,'Трудозатраты членов ВТК'!$D$464:$D$713,B:B),"-")</f>
        <v>0</v>
      </c>
      <c r="O52" s="639"/>
      <c r="P52" s="351">
        <f>IFERROR(ROUND(IF('Состав ВТК'!$K48=справочник!$A$5,$N52*VLOOKUP($L52,Расценка!$C$3:$E$12,3,FALSE)*$O52,0),2),"-")</f>
        <v>0</v>
      </c>
    </row>
    <row r="53" spans="1:16" ht="15.75" x14ac:dyDescent="0.25">
      <c r="A53" s="247">
        <v>41</v>
      </c>
      <c r="B53" s="349">
        <f>'Состав ВТК'!$B49</f>
        <v>0</v>
      </c>
      <c r="C53" s="349" t="str">
        <f>IFERROR(VLOOKUP($B53,'Состав ВТК'!$B$9:$J$109,3,FALSE),"-")</f>
        <v>-</v>
      </c>
      <c r="D53" s="247" t="str">
        <f>IFERROR(VLOOKUP($B53,'Состав ВТК'!$B$9:$J$109,7,FALSE),"-")</f>
        <v>-</v>
      </c>
      <c r="E53" s="247" t="str">
        <f>IFERROR(VLOOKUP($B53,'Состав ВТК'!$B$9:$J$109,8,FALSE),"-")</f>
        <v>-</v>
      </c>
      <c r="F53" s="247" t="str">
        <f>IFERROR(VLOOKUP($B53,'Состав ВТК'!$B$9:$G$109,6,FALSE),"-")</f>
        <v>-</v>
      </c>
      <c r="G53" s="247" t="str">
        <f>IFERROR(VLOOKUP($B53,'Состав ВТК'!$B$9:$J$109,9,FALSE),"-")</f>
        <v>-</v>
      </c>
      <c r="H53" s="350" t="str">
        <f>IFERROR(VLOOKUP($C53,Расценка!$N$3:$O$543,2,FALSE),"-")</f>
        <v>-</v>
      </c>
      <c r="I53" s="351">
        <f>IFERROR(SUMIFS('Трудозатраты членов ВТК'!$G$17:$G$117,'Трудозатраты членов ВТК'!$D$17:$D$117,B:B),"-")</f>
        <v>0</v>
      </c>
      <c r="J53" s="351">
        <f>IFERROR(SUMIFS('Трудозатраты членов ВТК'!$F$464:$F$713,'Трудозатраты членов ВТК'!$D$464:$D$713,B:B),"-")</f>
        <v>0</v>
      </c>
      <c r="K53" s="351" t="str">
        <f>IFERROR(ROUND($J53*VLOOKUP($H53,Расценка!$C$3:$E$12,3,FALSE),2),"-")</f>
        <v>-</v>
      </c>
      <c r="L53" s="638"/>
      <c r="M53" s="351">
        <f>IFERROR(SUMIFS('Трудозатраты членов ВТК'!$G$17:$G$117,'Трудозатраты членов ВТК'!$D$17:$D$117,B:B),"-")</f>
        <v>0</v>
      </c>
      <c r="N53" s="351">
        <f>IFERROR(SUMIFS('Трудозатраты членов ВТК'!$F$464:$F$713,'Трудозатраты членов ВТК'!$D$464:$D$713,B:B),"-")</f>
        <v>0</v>
      </c>
      <c r="O53" s="639"/>
      <c r="P53" s="351">
        <f>IFERROR(ROUND(IF('Состав ВТК'!$K49=справочник!$A$5,$N53*VLOOKUP($L53,Расценка!$C$3:$E$12,3,FALSE)*$O53,0),2),"-")</f>
        <v>0</v>
      </c>
    </row>
    <row r="54" spans="1:16" ht="15.75" x14ac:dyDescent="0.25">
      <c r="A54" s="247">
        <v>42</v>
      </c>
      <c r="B54" s="349">
        <f>'Состав ВТК'!$B50</f>
        <v>0</v>
      </c>
      <c r="C54" s="349" t="str">
        <f>IFERROR(VLOOKUP($B54,'Состав ВТК'!$B$9:$J$109,3,FALSE),"-")</f>
        <v>-</v>
      </c>
      <c r="D54" s="247" t="str">
        <f>IFERROR(VLOOKUP($B54,'Состав ВТК'!$B$9:$J$109,7,FALSE),"-")</f>
        <v>-</v>
      </c>
      <c r="E54" s="247" t="str">
        <f>IFERROR(VLOOKUP($B54,'Состав ВТК'!$B$9:$J$109,8,FALSE),"-")</f>
        <v>-</v>
      </c>
      <c r="F54" s="247" t="str">
        <f>IFERROR(VLOOKUP($B54,'Состав ВТК'!$B$9:$G$109,6,FALSE),"-")</f>
        <v>-</v>
      </c>
      <c r="G54" s="247" t="str">
        <f>IFERROR(VLOOKUP($B54,'Состав ВТК'!$B$9:$J$109,9,FALSE),"-")</f>
        <v>-</v>
      </c>
      <c r="H54" s="350" t="str">
        <f>IFERROR(VLOOKUP($C54,Расценка!$N$3:$O$543,2,FALSE),"-")</f>
        <v>-</v>
      </c>
      <c r="I54" s="351">
        <f>IFERROR(SUMIFS('Трудозатраты членов ВТК'!$G$17:$G$117,'Трудозатраты членов ВТК'!$D$17:$D$117,B:B),"-")</f>
        <v>0</v>
      </c>
      <c r="J54" s="351">
        <f>IFERROR(SUMIFS('Трудозатраты членов ВТК'!$F$464:$F$713,'Трудозатраты членов ВТК'!$D$464:$D$713,B:B),"-")</f>
        <v>0</v>
      </c>
      <c r="K54" s="351" t="str">
        <f>IFERROR(ROUND($J54*VLOOKUP($H54,Расценка!$C$3:$E$12,3,FALSE),2),"-")</f>
        <v>-</v>
      </c>
      <c r="L54" s="638"/>
      <c r="M54" s="351">
        <f>IFERROR(SUMIFS('Трудозатраты членов ВТК'!$G$17:$G$117,'Трудозатраты членов ВТК'!$D$17:$D$117,B:B),"-")</f>
        <v>0</v>
      </c>
      <c r="N54" s="351">
        <f>IFERROR(SUMIFS('Трудозатраты членов ВТК'!$F$464:$F$713,'Трудозатраты членов ВТК'!$D$464:$D$713,B:B),"-")</f>
        <v>0</v>
      </c>
      <c r="O54" s="639"/>
      <c r="P54" s="351">
        <f>IFERROR(ROUND(IF('Состав ВТК'!$K50=справочник!$A$5,$N54*VLOOKUP($L54,Расценка!$C$3:$E$12,3,FALSE)*$O54,0),2),"-")</f>
        <v>0</v>
      </c>
    </row>
    <row r="55" spans="1:16" ht="15.75" x14ac:dyDescent="0.25">
      <c r="A55" s="247">
        <v>43</v>
      </c>
      <c r="B55" s="349">
        <f>'Состав ВТК'!$B51</f>
        <v>0</v>
      </c>
      <c r="C55" s="349" t="str">
        <f>IFERROR(VLOOKUP($B55,'Состав ВТК'!$B$9:$J$109,3,FALSE),"-")</f>
        <v>-</v>
      </c>
      <c r="D55" s="247" t="str">
        <f>IFERROR(VLOOKUP($B55,'Состав ВТК'!$B$9:$J$109,7,FALSE),"-")</f>
        <v>-</v>
      </c>
      <c r="E55" s="247" t="str">
        <f>IFERROR(VLOOKUP($B55,'Состав ВТК'!$B$9:$J$109,8,FALSE),"-")</f>
        <v>-</v>
      </c>
      <c r="F55" s="247" t="str">
        <f>IFERROR(VLOOKUP($B55,'Состав ВТК'!$B$9:$G$109,6,FALSE),"-")</f>
        <v>-</v>
      </c>
      <c r="G55" s="247" t="str">
        <f>IFERROR(VLOOKUP($B55,'Состав ВТК'!$B$9:$J$109,9,FALSE),"-")</f>
        <v>-</v>
      </c>
      <c r="H55" s="350" t="str">
        <f>IFERROR(VLOOKUP($C55,Расценка!$N$3:$O$543,2,FALSE),"-")</f>
        <v>-</v>
      </c>
      <c r="I55" s="351">
        <f>IFERROR(SUMIFS('Трудозатраты членов ВТК'!$G$17:$G$117,'Трудозатраты членов ВТК'!$D$17:$D$117,B:B),"-")</f>
        <v>0</v>
      </c>
      <c r="J55" s="351">
        <f>IFERROR(SUMIFS('Трудозатраты членов ВТК'!$F$464:$F$713,'Трудозатраты членов ВТК'!$D$464:$D$713,B:B),"-")</f>
        <v>0</v>
      </c>
      <c r="K55" s="351" t="str">
        <f>IFERROR(ROUND($J55*VLOOKUP($H55,Расценка!$C$3:$E$12,3,FALSE),2),"-")</f>
        <v>-</v>
      </c>
      <c r="L55" s="638"/>
      <c r="M55" s="351">
        <f>IFERROR(SUMIFS('Трудозатраты членов ВТК'!$G$17:$G$117,'Трудозатраты членов ВТК'!$D$17:$D$117,B:B),"-")</f>
        <v>0</v>
      </c>
      <c r="N55" s="351">
        <f>IFERROR(SUMIFS('Трудозатраты членов ВТК'!$F$464:$F$713,'Трудозатраты членов ВТК'!$D$464:$D$713,B:B),"-")</f>
        <v>0</v>
      </c>
      <c r="O55" s="639"/>
      <c r="P55" s="351">
        <f>IFERROR(ROUND(IF('Состав ВТК'!$K51=справочник!$A$5,$N55*VLOOKUP($L55,Расценка!$C$3:$E$12,3,FALSE)*$O55,0),2),"-")</f>
        <v>0</v>
      </c>
    </row>
    <row r="56" spans="1:16" ht="15.75" x14ac:dyDescent="0.25">
      <c r="A56" s="247">
        <v>44</v>
      </c>
      <c r="B56" s="349">
        <f>'Состав ВТК'!$B52</f>
        <v>0</v>
      </c>
      <c r="C56" s="349" t="str">
        <f>IFERROR(VLOOKUP($B56,'Состав ВТК'!$B$9:$J$109,3,FALSE),"-")</f>
        <v>-</v>
      </c>
      <c r="D56" s="247" t="str">
        <f>IFERROR(VLOOKUP($B56,'Состав ВТК'!$B$9:$J$109,7,FALSE),"-")</f>
        <v>-</v>
      </c>
      <c r="E56" s="247" t="str">
        <f>IFERROR(VLOOKUP($B56,'Состав ВТК'!$B$9:$J$109,8,FALSE),"-")</f>
        <v>-</v>
      </c>
      <c r="F56" s="247" t="str">
        <f>IFERROR(VLOOKUP($B56,'Состав ВТК'!$B$9:$G$109,6,FALSE),"-")</f>
        <v>-</v>
      </c>
      <c r="G56" s="247" t="str">
        <f>IFERROR(VLOOKUP($B56,'Состав ВТК'!$B$9:$J$109,9,FALSE),"-")</f>
        <v>-</v>
      </c>
      <c r="H56" s="350" t="str">
        <f>IFERROR(VLOOKUP($C56,Расценка!$N$3:$O$543,2,FALSE),"-")</f>
        <v>-</v>
      </c>
      <c r="I56" s="351">
        <f>IFERROR(SUMIFS('Трудозатраты членов ВТК'!$G$17:$G$117,'Трудозатраты членов ВТК'!$D$17:$D$117,B:B),"-")</f>
        <v>0</v>
      </c>
      <c r="J56" s="351">
        <f>IFERROR(SUMIFS('Трудозатраты членов ВТК'!$F$464:$F$713,'Трудозатраты членов ВТК'!$D$464:$D$713,B:B),"-")</f>
        <v>0</v>
      </c>
      <c r="K56" s="351" t="str">
        <f>IFERROR(ROUND($J56*VLOOKUP($H56,Расценка!$C$3:$E$12,3,FALSE),2),"-")</f>
        <v>-</v>
      </c>
      <c r="L56" s="638"/>
      <c r="M56" s="351">
        <f>IFERROR(SUMIFS('Трудозатраты членов ВТК'!$G$17:$G$117,'Трудозатраты членов ВТК'!$D$17:$D$117,B:B),"-")</f>
        <v>0</v>
      </c>
      <c r="N56" s="351">
        <f>IFERROR(SUMIFS('Трудозатраты членов ВТК'!$F$464:$F$713,'Трудозатраты членов ВТК'!$D$464:$D$713,B:B),"-")</f>
        <v>0</v>
      </c>
      <c r="O56" s="639"/>
      <c r="P56" s="351">
        <f>IFERROR(ROUND(IF('Состав ВТК'!$K52=справочник!$A$5,$N56*VLOOKUP($L56,Расценка!$C$3:$E$12,3,FALSE)*$O56,0),2),"-")</f>
        <v>0</v>
      </c>
    </row>
    <row r="57" spans="1:16" ht="15.75" x14ac:dyDescent="0.25">
      <c r="A57" s="247">
        <v>45</v>
      </c>
      <c r="B57" s="349">
        <f>'Состав ВТК'!$B53</f>
        <v>0</v>
      </c>
      <c r="C57" s="349" t="str">
        <f>IFERROR(VLOOKUP($B57,'Состав ВТК'!$B$9:$J$109,3,FALSE),"-")</f>
        <v>-</v>
      </c>
      <c r="D57" s="247" t="str">
        <f>IFERROR(VLOOKUP($B57,'Состав ВТК'!$B$9:$J$109,7,FALSE),"-")</f>
        <v>-</v>
      </c>
      <c r="E57" s="247" t="str">
        <f>IFERROR(VLOOKUP($B57,'Состав ВТК'!$B$9:$J$109,8,FALSE),"-")</f>
        <v>-</v>
      </c>
      <c r="F57" s="247" t="str">
        <f>IFERROR(VLOOKUP($B57,'Состав ВТК'!$B$9:$G$109,6,FALSE),"-")</f>
        <v>-</v>
      </c>
      <c r="G57" s="247" t="str">
        <f>IFERROR(VLOOKUP($B57,'Состав ВТК'!$B$9:$J$109,9,FALSE),"-")</f>
        <v>-</v>
      </c>
      <c r="H57" s="350" t="str">
        <f>IFERROR(VLOOKUP($C57,Расценка!$N$3:$O$543,2,FALSE),"-")</f>
        <v>-</v>
      </c>
      <c r="I57" s="351">
        <f>IFERROR(SUMIFS('Трудозатраты членов ВТК'!$G$17:$G$117,'Трудозатраты членов ВТК'!$D$17:$D$117,B:B),"-")</f>
        <v>0</v>
      </c>
      <c r="J57" s="351">
        <f>IFERROR(SUMIFS('Трудозатраты членов ВТК'!$F$464:$F$713,'Трудозатраты членов ВТК'!$D$464:$D$713,B:B),"-")</f>
        <v>0</v>
      </c>
      <c r="K57" s="351" t="str">
        <f>IFERROR(ROUND($J57*VLOOKUP($H57,Расценка!$C$3:$E$12,3,FALSE),2),"-")</f>
        <v>-</v>
      </c>
      <c r="L57" s="638"/>
      <c r="M57" s="351">
        <f>IFERROR(SUMIFS('Трудозатраты членов ВТК'!$G$17:$G$117,'Трудозатраты членов ВТК'!$D$17:$D$117,B:B),"-")</f>
        <v>0</v>
      </c>
      <c r="N57" s="351">
        <f>IFERROR(SUMIFS('Трудозатраты членов ВТК'!$F$464:$F$713,'Трудозатраты членов ВТК'!$D$464:$D$713,B:B),"-")</f>
        <v>0</v>
      </c>
      <c r="O57" s="639"/>
      <c r="P57" s="351">
        <f>IFERROR(ROUND(IF('Состав ВТК'!$K53=справочник!$A$5,$N57*VLOOKUP($L57,Расценка!$C$3:$E$12,3,FALSE)*$O57,0),2),"-")</f>
        <v>0</v>
      </c>
    </row>
    <row r="58" spans="1:16" ht="15.75" x14ac:dyDescent="0.25">
      <c r="A58" s="247">
        <v>46</v>
      </c>
      <c r="B58" s="349">
        <f>'Состав ВТК'!$B54</f>
        <v>0</v>
      </c>
      <c r="C58" s="349" t="str">
        <f>IFERROR(VLOOKUP($B58,'Состав ВТК'!$B$9:$J$109,3,FALSE),"-")</f>
        <v>-</v>
      </c>
      <c r="D58" s="247" t="str">
        <f>IFERROR(VLOOKUP($B58,'Состав ВТК'!$B$9:$J$109,7,FALSE),"-")</f>
        <v>-</v>
      </c>
      <c r="E58" s="247" t="str">
        <f>IFERROR(VLOOKUP($B58,'Состав ВТК'!$B$9:$J$109,8,FALSE),"-")</f>
        <v>-</v>
      </c>
      <c r="F58" s="247" t="str">
        <f>IFERROR(VLOOKUP($B58,'Состав ВТК'!$B$9:$G$109,6,FALSE),"-")</f>
        <v>-</v>
      </c>
      <c r="G58" s="247" t="str">
        <f>IFERROR(VLOOKUP($B58,'Состав ВТК'!$B$9:$J$109,9,FALSE),"-")</f>
        <v>-</v>
      </c>
      <c r="H58" s="350" t="str">
        <f>IFERROR(VLOOKUP($C58,Расценка!$N$3:$O$543,2,FALSE),"-")</f>
        <v>-</v>
      </c>
      <c r="I58" s="351">
        <f>IFERROR(SUMIFS('Трудозатраты членов ВТК'!$G$17:$G$117,'Трудозатраты членов ВТК'!$D$17:$D$117,B:B),"-")</f>
        <v>0</v>
      </c>
      <c r="J58" s="351">
        <f>IFERROR(SUMIFS('Трудозатраты членов ВТК'!$F$464:$F$713,'Трудозатраты членов ВТК'!$D$464:$D$713,B:B),"-")</f>
        <v>0</v>
      </c>
      <c r="K58" s="351" t="str">
        <f>IFERROR(ROUND($J58*VLOOKUP($H58,Расценка!$C$3:$E$12,3,FALSE),2),"-")</f>
        <v>-</v>
      </c>
      <c r="L58" s="638"/>
      <c r="M58" s="351">
        <f>IFERROR(SUMIFS('Трудозатраты членов ВТК'!$G$17:$G$117,'Трудозатраты членов ВТК'!$D$17:$D$117,B:B),"-")</f>
        <v>0</v>
      </c>
      <c r="N58" s="351">
        <f>IFERROR(SUMIFS('Трудозатраты членов ВТК'!$F$464:$F$713,'Трудозатраты членов ВТК'!$D$464:$D$713,B:B),"-")</f>
        <v>0</v>
      </c>
      <c r="O58" s="639"/>
      <c r="P58" s="351">
        <f>IFERROR(ROUND(IF('Состав ВТК'!$K54=справочник!$A$5,$N58*VLOOKUP($L58,Расценка!$C$3:$E$12,3,FALSE)*$O58,0),2),"-")</f>
        <v>0</v>
      </c>
    </row>
    <row r="59" spans="1:16" ht="15.75" x14ac:dyDescent="0.25">
      <c r="A59" s="247">
        <v>47</v>
      </c>
      <c r="B59" s="349">
        <f>'Состав ВТК'!$B55</f>
        <v>0</v>
      </c>
      <c r="C59" s="349" t="str">
        <f>IFERROR(VLOOKUP($B59,'Состав ВТК'!$B$9:$J$109,3,FALSE),"-")</f>
        <v>-</v>
      </c>
      <c r="D59" s="247" t="str">
        <f>IFERROR(VLOOKUP($B59,'Состав ВТК'!$B$9:$J$109,7,FALSE),"-")</f>
        <v>-</v>
      </c>
      <c r="E59" s="247" t="str">
        <f>IFERROR(VLOOKUP($B59,'Состав ВТК'!$B$9:$J$109,8,FALSE),"-")</f>
        <v>-</v>
      </c>
      <c r="F59" s="247" t="str">
        <f>IFERROR(VLOOKUP($B59,'Состав ВТК'!$B$9:$G$109,6,FALSE),"-")</f>
        <v>-</v>
      </c>
      <c r="G59" s="247" t="str">
        <f>IFERROR(VLOOKUP($B59,'Состав ВТК'!$B$9:$J$109,9,FALSE),"-")</f>
        <v>-</v>
      </c>
      <c r="H59" s="350" t="str">
        <f>IFERROR(VLOOKUP($C59,Расценка!$N$3:$O$543,2,FALSE),"-")</f>
        <v>-</v>
      </c>
      <c r="I59" s="351">
        <f>IFERROR(SUMIFS('Трудозатраты членов ВТК'!$G$17:$G$117,'Трудозатраты членов ВТК'!$D$17:$D$117,B:B),"-")</f>
        <v>0</v>
      </c>
      <c r="J59" s="351">
        <f>IFERROR(SUMIFS('Трудозатраты членов ВТК'!$F$464:$F$713,'Трудозатраты членов ВТК'!$D$464:$D$713,B:B),"-")</f>
        <v>0</v>
      </c>
      <c r="K59" s="351" t="str">
        <f>IFERROR(ROUND($J59*VLOOKUP($H59,Расценка!$C$3:$E$12,3,FALSE),2),"-")</f>
        <v>-</v>
      </c>
      <c r="L59" s="638"/>
      <c r="M59" s="351">
        <f>IFERROR(SUMIFS('Трудозатраты членов ВТК'!$G$17:$G$117,'Трудозатраты членов ВТК'!$D$17:$D$117,B:B),"-")</f>
        <v>0</v>
      </c>
      <c r="N59" s="351">
        <f>IFERROR(SUMIFS('Трудозатраты членов ВТК'!$F$464:$F$713,'Трудозатраты членов ВТК'!$D$464:$D$713,B:B),"-")</f>
        <v>0</v>
      </c>
      <c r="O59" s="639"/>
      <c r="P59" s="351">
        <f>IFERROR(ROUND(IF('Состав ВТК'!$K55=справочник!$A$5,$N59*VLOOKUP($L59,Расценка!$C$3:$E$12,3,FALSE)*$O59,0),2),"-")</f>
        <v>0</v>
      </c>
    </row>
    <row r="60" spans="1:16" ht="15.75" x14ac:dyDescent="0.25">
      <c r="A60" s="247">
        <v>48</v>
      </c>
      <c r="B60" s="349">
        <f>'Состав ВТК'!$B56</f>
        <v>0</v>
      </c>
      <c r="C60" s="349" t="str">
        <f>IFERROR(VLOOKUP($B60,'Состав ВТК'!$B$9:$J$109,3,FALSE),"-")</f>
        <v>-</v>
      </c>
      <c r="D60" s="247" t="str">
        <f>IFERROR(VLOOKUP($B60,'Состав ВТК'!$B$9:$J$109,7,FALSE),"-")</f>
        <v>-</v>
      </c>
      <c r="E60" s="247" t="str">
        <f>IFERROR(VLOOKUP($B60,'Состав ВТК'!$B$9:$J$109,8,FALSE),"-")</f>
        <v>-</v>
      </c>
      <c r="F60" s="247" t="str">
        <f>IFERROR(VLOOKUP($B60,'Состав ВТК'!$B$9:$G$109,6,FALSE),"-")</f>
        <v>-</v>
      </c>
      <c r="G60" s="247" t="str">
        <f>IFERROR(VLOOKUP($B60,'Состав ВТК'!$B$9:$J$109,9,FALSE),"-")</f>
        <v>-</v>
      </c>
      <c r="H60" s="350" t="str">
        <f>IFERROR(VLOOKUP($C60,Расценка!$N$3:$O$543,2,FALSE),"-")</f>
        <v>-</v>
      </c>
      <c r="I60" s="351">
        <f>IFERROR(SUMIFS('Трудозатраты членов ВТК'!$G$17:$G$117,'Трудозатраты членов ВТК'!$D$17:$D$117,B:B),"-")</f>
        <v>0</v>
      </c>
      <c r="J60" s="351">
        <f>IFERROR(SUMIFS('Трудозатраты членов ВТК'!$F$464:$F$713,'Трудозатраты членов ВТК'!$D$464:$D$713,B:B),"-")</f>
        <v>0</v>
      </c>
      <c r="K60" s="351" t="str">
        <f>IFERROR(ROUND($J60*VLOOKUP($H60,Расценка!$C$3:$E$12,3,FALSE),2),"-")</f>
        <v>-</v>
      </c>
      <c r="L60" s="638"/>
      <c r="M60" s="351">
        <f>IFERROR(SUMIFS('Трудозатраты членов ВТК'!$G$17:$G$117,'Трудозатраты членов ВТК'!$D$17:$D$117,B:B),"-")</f>
        <v>0</v>
      </c>
      <c r="N60" s="351">
        <f>IFERROR(SUMIFS('Трудозатраты членов ВТК'!$F$464:$F$713,'Трудозатраты членов ВТК'!$D$464:$D$713,B:B),"-")</f>
        <v>0</v>
      </c>
      <c r="O60" s="639"/>
      <c r="P60" s="351">
        <f>IFERROR(ROUND(IF('Состав ВТК'!$K56=справочник!$A$5,$N60*VLOOKUP($L60,Расценка!$C$3:$E$12,3,FALSE)*$O60,0),2),"-")</f>
        <v>0</v>
      </c>
    </row>
    <row r="61" spans="1:16" ht="15.75" x14ac:dyDescent="0.25">
      <c r="A61" s="247">
        <v>49</v>
      </c>
      <c r="B61" s="349">
        <f>'Состав ВТК'!$B57</f>
        <v>0</v>
      </c>
      <c r="C61" s="349" t="str">
        <f>IFERROR(VLOOKUP($B61,'Состав ВТК'!$B$9:$J$109,3,FALSE),"-")</f>
        <v>-</v>
      </c>
      <c r="D61" s="247" t="str">
        <f>IFERROR(VLOOKUP($B61,'Состав ВТК'!$B$9:$J$109,7,FALSE),"-")</f>
        <v>-</v>
      </c>
      <c r="E61" s="247" t="str">
        <f>IFERROR(VLOOKUP($B61,'Состав ВТК'!$B$9:$J$109,8,FALSE),"-")</f>
        <v>-</v>
      </c>
      <c r="F61" s="247" t="str">
        <f>IFERROR(VLOOKUP($B61,'Состав ВТК'!$B$9:$G$109,6,FALSE),"-")</f>
        <v>-</v>
      </c>
      <c r="G61" s="247" t="str">
        <f>IFERROR(VLOOKUP($B61,'Состав ВТК'!$B$9:$J$109,9,FALSE),"-")</f>
        <v>-</v>
      </c>
      <c r="H61" s="350" t="str">
        <f>IFERROR(VLOOKUP($C61,Расценка!$N$3:$O$543,2,FALSE),"-")</f>
        <v>-</v>
      </c>
      <c r="I61" s="351">
        <f>IFERROR(SUMIFS('Трудозатраты членов ВТК'!$G$17:$G$117,'Трудозатраты членов ВТК'!$D$17:$D$117,B:B),"-")</f>
        <v>0</v>
      </c>
      <c r="J61" s="351">
        <f>IFERROR(SUMIFS('Трудозатраты членов ВТК'!$F$464:$F$713,'Трудозатраты членов ВТК'!$D$464:$D$713,B:B),"-")</f>
        <v>0</v>
      </c>
      <c r="K61" s="351" t="str">
        <f>IFERROR(ROUND($J61*VLOOKUP($H61,Расценка!$C$3:$E$12,3,FALSE),2),"-")</f>
        <v>-</v>
      </c>
      <c r="L61" s="638"/>
      <c r="M61" s="351">
        <f>IFERROR(SUMIFS('Трудозатраты членов ВТК'!$G$17:$G$117,'Трудозатраты членов ВТК'!$D$17:$D$117,B:B),"-")</f>
        <v>0</v>
      </c>
      <c r="N61" s="351">
        <f>IFERROR(SUMIFS('Трудозатраты членов ВТК'!$F$464:$F$713,'Трудозатраты членов ВТК'!$D$464:$D$713,B:B),"-")</f>
        <v>0</v>
      </c>
      <c r="O61" s="639"/>
      <c r="P61" s="351">
        <f>IFERROR(ROUND(IF('Состав ВТК'!$K57=справочник!$A$5,$N61*VLOOKUP($L61,Расценка!$C$3:$E$12,3,FALSE)*$O61,0),2),"-")</f>
        <v>0</v>
      </c>
    </row>
    <row r="62" spans="1:16" ht="15.75" x14ac:dyDescent="0.25">
      <c r="A62" s="247">
        <v>50</v>
      </c>
      <c r="B62" s="349">
        <f>'Состав ВТК'!$B58</f>
        <v>0</v>
      </c>
      <c r="C62" s="349" t="str">
        <f>IFERROR(VLOOKUP($B62,'Состав ВТК'!$B$9:$J$109,3,FALSE),"-")</f>
        <v>-</v>
      </c>
      <c r="D62" s="247" t="str">
        <f>IFERROR(VLOOKUP($B62,'Состав ВТК'!$B$9:$J$109,7,FALSE),"-")</f>
        <v>-</v>
      </c>
      <c r="E62" s="247" t="str">
        <f>IFERROR(VLOOKUP($B62,'Состав ВТК'!$B$9:$J$109,8,FALSE),"-")</f>
        <v>-</v>
      </c>
      <c r="F62" s="247" t="str">
        <f>IFERROR(VLOOKUP($B62,'Состав ВТК'!$B$9:$G$109,6,FALSE),"-")</f>
        <v>-</v>
      </c>
      <c r="G62" s="247" t="str">
        <f>IFERROR(VLOOKUP($B62,'Состав ВТК'!$B$9:$J$109,9,FALSE),"-")</f>
        <v>-</v>
      </c>
      <c r="H62" s="350" t="str">
        <f>IFERROR(VLOOKUP($C62,Расценка!$N$3:$O$543,2,FALSE),"-")</f>
        <v>-</v>
      </c>
      <c r="I62" s="351">
        <f>IFERROR(SUMIFS('Трудозатраты членов ВТК'!$G$17:$G$117,'Трудозатраты членов ВТК'!$D$17:$D$117,B:B),"-")</f>
        <v>0</v>
      </c>
      <c r="J62" s="351">
        <f>IFERROR(SUMIFS('Трудозатраты членов ВТК'!$F$464:$F$713,'Трудозатраты членов ВТК'!$D$464:$D$713,B:B),"-")</f>
        <v>0</v>
      </c>
      <c r="K62" s="351" t="str">
        <f>IFERROR(ROUND($J62*VLOOKUP($H62,Расценка!$C$3:$E$12,3,FALSE),2),"-")</f>
        <v>-</v>
      </c>
      <c r="L62" s="638"/>
      <c r="M62" s="351">
        <f>IFERROR(SUMIFS('Трудозатраты членов ВТК'!$G$17:$G$117,'Трудозатраты членов ВТК'!$D$17:$D$117,B:B),"-")</f>
        <v>0</v>
      </c>
      <c r="N62" s="351">
        <f>IFERROR(SUMIFS('Трудозатраты членов ВТК'!$F$464:$F$713,'Трудозатраты членов ВТК'!$D$464:$D$713,B:B),"-")</f>
        <v>0</v>
      </c>
      <c r="O62" s="639"/>
      <c r="P62" s="351">
        <f>IFERROR(ROUND(IF('Состав ВТК'!$K58=справочник!$A$5,$N62*VLOOKUP($L62,Расценка!$C$3:$E$12,3,FALSE)*$O62,0),2),"-")</f>
        <v>0</v>
      </c>
    </row>
    <row r="63" spans="1:16" ht="15.75" x14ac:dyDescent="0.25">
      <c r="A63" s="247">
        <v>51</v>
      </c>
      <c r="B63" s="349">
        <f>'Состав ВТК'!$B59</f>
        <v>0</v>
      </c>
      <c r="C63" s="349" t="str">
        <f>IFERROR(VLOOKUP($B63,'Состав ВТК'!$B$9:$J$109,3,FALSE),"-")</f>
        <v>-</v>
      </c>
      <c r="D63" s="247" t="str">
        <f>IFERROR(VLOOKUP($B63,'Состав ВТК'!$B$9:$J$109,7,FALSE),"-")</f>
        <v>-</v>
      </c>
      <c r="E63" s="247" t="str">
        <f>IFERROR(VLOOKUP($B63,'Состав ВТК'!$B$9:$J$109,8,FALSE),"-")</f>
        <v>-</v>
      </c>
      <c r="F63" s="247" t="str">
        <f>IFERROR(VLOOKUP($B63,'Состав ВТК'!$B$9:$G$109,6,FALSE),"-")</f>
        <v>-</v>
      </c>
      <c r="G63" s="247" t="str">
        <f>IFERROR(VLOOKUP($B63,'Состав ВТК'!$B$9:$J$109,9,FALSE),"-")</f>
        <v>-</v>
      </c>
      <c r="H63" s="350" t="str">
        <f>IFERROR(VLOOKUP($C63,Расценка!$N$3:$O$543,2,FALSE),"-")</f>
        <v>-</v>
      </c>
      <c r="I63" s="351">
        <f>IFERROR(SUMIFS('Трудозатраты членов ВТК'!$G$17:$G$117,'Трудозатраты членов ВТК'!$D$17:$D$117,B:B),"-")</f>
        <v>0</v>
      </c>
      <c r="J63" s="351">
        <f>IFERROR(SUMIFS('Трудозатраты членов ВТК'!$F$464:$F$713,'Трудозатраты членов ВТК'!$D$464:$D$713,B:B),"-")</f>
        <v>0</v>
      </c>
      <c r="K63" s="351" t="str">
        <f>IFERROR(ROUND($J63*VLOOKUP($H63,Расценка!$C$3:$E$12,3,FALSE),2),"-")</f>
        <v>-</v>
      </c>
      <c r="L63" s="638"/>
      <c r="M63" s="351">
        <f>IFERROR(SUMIFS('Трудозатраты членов ВТК'!$G$17:$G$117,'Трудозатраты членов ВТК'!$D$17:$D$117,B:B),"-")</f>
        <v>0</v>
      </c>
      <c r="N63" s="351">
        <f>IFERROR(SUMIFS('Трудозатраты членов ВТК'!$F$464:$F$713,'Трудозатраты членов ВТК'!$D$464:$D$713,B:B),"-")</f>
        <v>0</v>
      </c>
      <c r="O63" s="639"/>
      <c r="P63" s="351">
        <f>IFERROR(ROUND(IF('Состав ВТК'!$K59=справочник!$A$5,$N63*VLOOKUP($L63,Расценка!$C$3:$E$12,3,FALSE)*$O63,0),2),"-")</f>
        <v>0</v>
      </c>
    </row>
    <row r="64" spans="1:16" ht="15.75" x14ac:dyDescent="0.25">
      <c r="A64" s="247">
        <v>52</v>
      </c>
      <c r="B64" s="349">
        <f>'Состав ВТК'!$B60</f>
        <v>0</v>
      </c>
      <c r="C64" s="349" t="str">
        <f>IFERROR(VLOOKUP($B64,'Состав ВТК'!$B$9:$J$109,3,FALSE),"-")</f>
        <v>-</v>
      </c>
      <c r="D64" s="247" t="str">
        <f>IFERROR(VLOOKUP($B64,'Состав ВТК'!$B$9:$J$109,7,FALSE),"-")</f>
        <v>-</v>
      </c>
      <c r="E64" s="247" t="str">
        <f>IFERROR(VLOOKUP($B64,'Состав ВТК'!$B$9:$J$109,8,FALSE),"-")</f>
        <v>-</v>
      </c>
      <c r="F64" s="247" t="str">
        <f>IFERROR(VLOOKUP($B64,'Состав ВТК'!$B$9:$G$109,6,FALSE),"-")</f>
        <v>-</v>
      </c>
      <c r="G64" s="247" t="str">
        <f>IFERROR(VLOOKUP($B64,'Состав ВТК'!$B$9:$J$109,9,FALSE),"-")</f>
        <v>-</v>
      </c>
      <c r="H64" s="350" t="str">
        <f>IFERROR(VLOOKUP($C64,Расценка!$N$3:$O$543,2,FALSE),"-")</f>
        <v>-</v>
      </c>
      <c r="I64" s="351">
        <f>IFERROR(SUMIFS('Трудозатраты членов ВТК'!$G$17:$G$117,'Трудозатраты членов ВТК'!$D$17:$D$117,B:B),"-")</f>
        <v>0</v>
      </c>
      <c r="J64" s="351">
        <f>IFERROR(SUMIFS('Трудозатраты членов ВТК'!$F$464:$F$713,'Трудозатраты членов ВТК'!$D$464:$D$713,B:B),"-")</f>
        <v>0</v>
      </c>
      <c r="K64" s="351" t="str">
        <f>IFERROR(ROUND($J64*VLOOKUP($H64,Расценка!$C$3:$E$12,3,FALSE),2),"-")</f>
        <v>-</v>
      </c>
      <c r="L64" s="638"/>
      <c r="M64" s="351">
        <f>IFERROR(SUMIFS('Трудозатраты членов ВТК'!$G$17:$G$117,'Трудозатраты членов ВТК'!$D$17:$D$117,B:B),"-")</f>
        <v>0</v>
      </c>
      <c r="N64" s="351">
        <f>IFERROR(SUMIFS('Трудозатраты членов ВТК'!$F$464:$F$713,'Трудозатраты членов ВТК'!$D$464:$D$713,B:B),"-")</f>
        <v>0</v>
      </c>
      <c r="O64" s="639"/>
      <c r="P64" s="351">
        <f>IFERROR(ROUND(IF('Состав ВТК'!$K60=справочник!$A$5,$N64*VLOOKUP($L64,Расценка!$C$3:$E$12,3,FALSE)*$O64,0),2),"-")</f>
        <v>0</v>
      </c>
    </row>
    <row r="65" spans="1:16" ht="15.75" x14ac:dyDescent="0.25">
      <c r="A65" s="247">
        <v>53</v>
      </c>
      <c r="B65" s="349">
        <f>'Состав ВТК'!$B61</f>
        <v>0</v>
      </c>
      <c r="C65" s="349" t="str">
        <f>IFERROR(VLOOKUP($B65,'Состав ВТК'!$B$9:$J$109,3,FALSE),"-")</f>
        <v>-</v>
      </c>
      <c r="D65" s="247" t="str">
        <f>IFERROR(VLOOKUP($B65,'Состав ВТК'!$B$9:$J$109,7,FALSE),"-")</f>
        <v>-</v>
      </c>
      <c r="E65" s="247" t="str">
        <f>IFERROR(VLOOKUP($B65,'Состав ВТК'!$B$9:$J$109,8,FALSE),"-")</f>
        <v>-</v>
      </c>
      <c r="F65" s="247" t="str">
        <f>IFERROR(VLOOKUP($B65,'Состав ВТК'!$B$9:$G$109,6,FALSE),"-")</f>
        <v>-</v>
      </c>
      <c r="G65" s="247" t="str">
        <f>IFERROR(VLOOKUP($B65,'Состав ВТК'!$B$9:$J$109,9,FALSE),"-")</f>
        <v>-</v>
      </c>
      <c r="H65" s="350" t="str">
        <f>IFERROR(VLOOKUP($C65,Расценка!$N$3:$O$543,2,FALSE),"-")</f>
        <v>-</v>
      </c>
      <c r="I65" s="351">
        <f>IFERROR(SUMIFS('Трудозатраты членов ВТК'!$G$17:$G$117,'Трудозатраты членов ВТК'!$D$17:$D$117,B:B),"-")</f>
        <v>0</v>
      </c>
      <c r="J65" s="351">
        <f>IFERROR(SUMIFS('Трудозатраты членов ВТК'!$F$464:$F$713,'Трудозатраты членов ВТК'!$D$464:$D$713,B:B),"-")</f>
        <v>0</v>
      </c>
      <c r="K65" s="351" t="str">
        <f>IFERROR(ROUND($J65*VLOOKUP($H65,Расценка!$C$3:$E$12,3,FALSE),2),"-")</f>
        <v>-</v>
      </c>
      <c r="L65" s="638"/>
      <c r="M65" s="351">
        <f>IFERROR(SUMIFS('Трудозатраты членов ВТК'!$G$17:$G$117,'Трудозатраты членов ВТК'!$D$17:$D$117,B:B),"-")</f>
        <v>0</v>
      </c>
      <c r="N65" s="351">
        <f>IFERROR(SUMIFS('Трудозатраты членов ВТК'!$F$464:$F$713,'Трудозатраты членов ВТК'!$D$464:$D$713,B:B),"-")</f>
        <v>0</v>
      </c>
      <c r="O65" s="639"/>
      <c r="P65" s="351">
        <f>IFERROR(ROUND(IF('Состав ВТК'!$K61=справочник!$A$5,$N65*VLOOKUP($L65,Расценка!$C$3:$E$12,3,FALSE)*$O65,0),2),"-")</f>
        <v>0</v>
      </c>
    </row>
    <row r="66" spans="1:16" ht="15.75" x14ac:dyDescent="0.25">
      <c r="A66" s="247">
        <v>54</v>
      </c>
      <c r="B66" s="349">
        <f>'Состав ВТК'!$B62</f>
        <v>0</v>
      </c>
      <c r="C66" s="349" t="str">
        <f>IFERROR(VLOOKUP($B66,'Состав ВТК'!$B$9:$J$109,3,FALSE),"-")</f>
        <v>-</v>
      </c>
      <c r="D66" s="247" t="str">
        <f>IFERROR(VLOOKUP($B66,'Состав ВТК'!$B$9:$J$109,7,FALSE),"-")</f>
        <v>-</v>
      </c>
      <c r="E66" s="247" t="str">
        <f>IFERROR(VLOOKUP($B66,'Состав ВТК'!$B$9:$J$109,8,FALSE),"-")</f>
        <v>-</v>
      </c>
      <c r="F66" s="247" t="str">
        <f>IFERROR(VLOOKUP($B66,'Состав ВТК'!$B$9:$G$109,6,FALSE),"-")</f>
        <v>-</v>
      </c>
      <c r="G66" s="247" t="str">
        <f>IFERROR(VLOOKUP($B66,'Состав ВТК'!$B$9:$J$109,9,FALSE),"-")</f>
        <v>-</v>
      </c>
      <c r="H66" s="350" t="str">
        <f>IFERROR(VLOOKUP($C66,Расценка!$N$3:$O$543,2,FALSE),"-")</f>
        <v>-</v>
      </c>
      <c r="I66" s="351">
        <f>IFERROR(SUMIFS('Трудозатраты членов ВТК'!$G$17:$G$117,'Трудозатраты членов ВТК'!$D$17:$D$117,B:B),"-")</f>
        <v>0</v>
      </c>
      <c r="J66" s="351">
        <f>IFERROR(SUMIFS('Трудозатраты членов ВТК'!$F$464:$F$713,'Трудозатраты членов ВТК'!$D$464:$D$713,B:B),"-")</f>
        <v>0</v>
      </c>
      <c r="K66" s="351" t="str">
        <f>IFERROR(ROUND($J66*VLOOKUP($H66,Расценка!$C$3:$E$12,3,FALSE),2),"-")</f>
        <v>-</v>
      </c>
      <c r="L66" s="638"/>
      <c r="M66" s="351">
        <f>IFERROR(SUMIFS('Трудозатраты членов ВТК'!$G$17:$G$117,'Трудозатраты членов ВТК'!$D$17:$D$117,B:B),"-")</f>
        <v>0</v>
      </c>
      <c r="N66" s="351">
        <f>IFERROR(SUMIFS('Трудозатраты членов ВТК'!$F$464:$F$713,'Трудозатраты членов ВТК'!$D$464:$D$713,B:B),"-")</f>
        <v>0</v>
      </c>
      <c r="O66" s="639"/>
      <c r="P66" s="351">
        <f>IFERROR(ROUND(IF('Состав ВТК'!$K62=справочник!$A$5,$N66*VLOOKUP($L66,Расценка!$C$3:$E$12,3,FALSE)*$O66,0),2),"-")</f>
        <v>0</v>
      </c>
    </row>
    <row r="67" spans="1:16" ht="15.75" x14ac:dyDescent="0.25">
      <c r="A67" s="247">
        <v>55</v>
      </c>
      <c r="B67" s="349">
        <f>'Состав ВТК'!$B63</f>
        <v>0</v>
      </c>
      <c r="C67" s="349" t="str">
        <f>IFERROR(VLOOKUP($B67,'Состав ВТК'!$B$9:$J$109,3,FALSE),"-")</f>
        <v>-</v>
      </c>
      <c r="D67" s="247" t="str">
        <f>IFERROR(VLOOKUP($B67,'Состав ВТК'!$B$9:$J$109,7,FALSE),"-")</f>
        <v>-</v>
      </c>
      <c r="E67" s="247" t="str">
        <f>IFERROR(VLOOKUP($B67,'Состав ВТК'!$B$9:$J$109,8,FALSE),"-")</f>
        <v>-</v>
      </c>
      <c r="F67" s="247" t="str">
        <f>IFERROR(VLOOKUP($B67,'Состав ВТК'!$B$9:$G$109,6,FALSE),"-")</f>
        <v>-</v>
      </c>
      <c r="G67" s="247" t="str">
        <f>IFERROR(VLOOKUP($B67,'Состав ВТК'!$B$9:$J$109,9,FALSE),"-")</f>
        <v>-</v>
      </c>
      <c r="H67" s="350" t="str">
        <f>IFERROR(VLOOKUP($C67,Расценка!$N$3:$O$543,2,FALSE),"-")</f>
        <v>-</v>
      </c>
      <c r="I67" s="351">
        <f>IFERROR(SUMIFS('Трудозатраты членов ВТК'!$G$17:$G$117,'Трудозатраты членов ВТК'!$D$17:$D$117,B:B),"-")</f>
        <v>0</v>
      </c>
      <c r="J67" s="351">
        <f>IFERROR(SUMIFS('Трудозатраты членов ВТК'!$F$464:$F$713,'Трудозатраты членов ВТК'!$D$464:$D$713,B:B),"-")</f>
        <v>0</v>
      </c>
      <c r="K67" s="351" t="str">
        <f>IFERROR(ROUND($J67*VLOOKUP($H67,Расценка!$C$3:$E$12,3,FALSE),2),"-")</f>
        <v>-</v>
      </c>
      <c r="L67" s="638"/>
      <c r="M67" s="351">
        <f>IFERROR(SUMIFS('Трудозатраты членов ВТК'!$G$17:$G$117,'Трудозатраты членов ВТК'!$D$17:$D$117,B:B),"-")</f>
        <v>0</v>
      </c>
      <c r="N67" s="351">
        <f>IFERROR(SUMIFS('Трудозатраты членов ВТК'!$F$464:$F$713,'Трудозатраты членов ВТК'!$D$464:$D$713,B:B),"-")</f>
        <v>0</v>
      </c>
      <c r="O67" s="639"/>
      <c r="P67" s="351">
        <f>IFERROR(ROUND(IF('Состав ВТК'!$K63=справочник!$A$5,$N67*VLOOKUP($L67,Расценка!$C$3:$E$12,3,FALSE)*$O67,0),2),"-")</f>
        <v>0</v>
      </c>
    </row>
    <row r="68" spans="1:16" ht="15.75" x14ac:dyDescent="0.25">
      <c r="A68" s="247">
        <v>56</v>
      </c>
      <c r="B68" s="349">
        <f>'Состав ВТК'!$B64</f>
        <v>0</v>
      </c>
      <c r="C68" s="349" t="str">
        <f>IFERROR(VLOOKUP($B68,'Состав ВТК'!$B$9:$J$109,3,FALSE),"-")</f>
        <v>-</v>
      </c>
      <c r="D68" s="247" t="str">
        <f>IFERROR(VLOOKUP($B68,'Состав ВТК'!$B$9:$J$109,7,FALSE),"-")</f>
        <v>-</v>
      </c>
      <c r="E68" s="247" t="str">
        <f>IFERROR(VLOOKUP($B68,'Состав ВТК'!$B$9:$J$109,8,FALSE),"-")</f>
        <v>-</v>
      </c>
      <c r="F68" s="247" t="str">
        <f>IFERROR(VLOOKUP($B68,'Состав ВТК'!$B$9:$G$109,6,FALSE),"-")</f>
        <v>-</v>
      </c>
      <c r="G68" s="247" t="str">
        <f>IFERROR(VLOOKUP($B68,'Состав ВТК'!$B$9:$J$109,9,FALSE),"-")</f>
        <v>-</v>
      </c>
      <c r="H68" s="350" t="str">
        <f>IFERROR(VLOOKUP($C68,Расценка!$N$3:$O$543,2,FALSE),"-")</f>
        <v>-</v>
      </c>
      <c r="I68" s="351">
        <f>IFERROR(SUMIFS('Трудозатраты членов ВТК'!$G$17:$G$117,'Трудозатраты членов ВТК'!$D$17:$D$117,B:B),"-")</f>
        <v>0</v>
      </c>
      <c r="J68" s="351">
        <f>IFERROR(SUMIFS('Трудозатраты членов ВТК'!$F$464:$F$713,'Трудозатраты членов ВТК'!$D$464:$D$713,B:B),"-")</f>
        <v>0</v>
      </c>
      <c r="K68" s="351" t="str">
        <f>IFERROR(ROUND($J68*VLOOKUP($H68,Расценка!$C$3:$E$12,3,FALSE),2),"-")</f>
        <v>-</v>
      </c>
      <c r="L68" s="638"/>
      <c r="M68" s="351">
        <f>IFERROR(SUMIFS('Трудозатраты членов ВТК'!$G$17:$G$117,'Трудозатраты членов ВТК'!$D$17:$D$117,B:B),"-")</f>
        <v>0</v>
      </c>
      <c r="N68" s="351">
        <f>IFERROR(SUMIFS('Трудозатраты членов ВТК'!$F$464:$F$713,'Трудозатраты членов ВТК'!$D$464:$D$713,B:B),"-")</f>
        <v>0</v>
      </c>
      <c r="O68" s="639"/>
      <c r="P68" s="351">
        <f>IFERROR(ROUND(IF('Состав ВТК'!$K64=справочник!$A$5,$N68*VLOOKUP($L68,Расценка!$C$3:$E$12,3,FALSE)*$O68,0),2),"-")</f>
        <v>0</v>
      </c>
    </row>
    <row r="69" spans="1:16" ht="15.75" x14ac:dyDescent="0.25">
      <c r="A69" s="247">
        <v>57</v>
      </c>
      <c r="B69" s="349">
        <f>'Состав ВТК'!$B65</f>
        <v>0</v>
      </c>
      <c r="C69" s="349" t="str">
        <f>IFERROR(VLOOKUP($B69,'Состав ВТК'!$B$9:$J$109,3,FALSE),"-")</f>
        <v>-</v>
      </c>
      <c r="D69" s="247" t="str">
        <f>IFERROR(VLOOKUP($B69,'Состав ВТК'!$B$9:$J$109,7,FALSE),"-")</f>
        <v>-</v>
      </c>
      <c r="E69" s="247" t="str">
        <f>IFERROR(VLOOKUP($B69,'Состав ВТК'!$B$9:$J$109,8,FALSE),"-")</f>
        <v>-</v>
      </c>
      <c r="F69" s="247" t="str">
        <f>IFERROR(VLOOKUP($B69,'Состав ВТК'!$B$9:$G$109,6,FALSE),"-")</f>
        <v>-</v>
      </c>
      <c r="G69" s="247" t="str">
        <f>IFERROR(VLOOKUP($B69,'Состав ВТК'!$B$9:$J$109,9,FALSE),"-")</f>
        <v>-</v>
      </c>
      <c r="H69" s="350" t="str">
        <f>IFERROR(VLOOKUP($C69,Расценка!$N$3:$O$543,2,FALSE),"-")</f>
        <v>-</v>
      </c>
      <c r="I69" s="351">
        <f>IFERROR(SUMIFS('Трудозатраты членов ВТК'!$G$17:$G$117,'Трудозатраты членов ВТК'!$D$17:$D$117,B:B),"-")</f>
        <v>0</v>
      </c>
      <c r="J69" s="351">
        <f>IFERROR(SUMIFS('Трудозатраты членов ВТК'!$F$464:$F$713,'Трудозатраты членов ВТК'!$D$464:$D$713,B:B),"-")</f>
        <v>0</v>
      </c>
      <c r="K69" s="351" t="str">
        <f>IFERROR(ROUND($J69*VLOOKUP($H69,Расценка!$C$3:$E$12,3,FALSE),2),"-")</f>
        <v>-</v>
      </c>
      <c r="L69" s="638"/>
      <c r="M69" s="351">
        <f>IFERROR(SUMIFS('Трудозатраты членов ВТК'!$G$17:$G$117,'Трудозатраты членов ВТК'!$D$17:$D$117,B:B),"-")</f>
        <v>0</v>
      </c>
      <c r="N69" s="351">
        <f>IFERROR(SUMIFS('Трудозатраты членов ВТК'!$F$464:$F$713,'Трудозатраты членов ВТК'!$D$464:$D$713,B:B),"-")</f>
        <v>0</v>
      </c>
      <c r="O69" s="639"/>
      <c r="P69" s="351">
        <f>IFERROR(ROUND(IF('Состав ВТК'!$K65=справочник!$A$5,$N69*VLOOKUP($L69,Расценка!$C$3:$E$12,3,FALSE)*$O69,0),2),"-")</f>
        <v>0</v>
      </c>
    </row>
    <row r="70" spans="1:16" ht="15.75" x14ac:dyDescent="0.25">
      <c r="A70" s="247">
        <v>58</v>
      </c>
      <c r="B70" s="349">
        <f>'Состав ВТК'!$B66</f>
        <v>0</v>
      </c>
      <c r="C70" s="349" t="str">
        <f>IFERROR(VLOOKUP($B70,'Состав ВТК'!$B$9:$J$109,3,FALSE),"-")</f>
        <v>-</v>
      </c>
      <c r="D70" s="247" t="str">
        <f>IFERROR(VLOOKUP($B70,'Состав ВТК'!$B$9:$J$109,7,FALSE),"-")</f>
        <v>-</v>
      </c>
      <c r="E70" s="247" t="str">
        <f>IFERROR(VLOOKUP($B70,'Состав ВТК'!$B$9:$J$109,8,FALSE),"-")</f>
        <v>-</v>
      </c>
      <c r="F70" s="247" t="str">
        <f>IFERROR(VLOOKUP($B70,'Состав ВТК'!$B$9:$G$109,6,FALSE),"-")</f>
        <v>-</v>
      </c>
      <c r="G70" s="247" t="str">
        <f>IFERROR(VLOOKUP($B70,'Состав ВТК'!$B$9:$J$109,9,FALSE),"-")</f>
        <v>-</v>
      </c>
      <c r="H70" s="350" t="str">
        <f>IFERROR(VLOOKUP($C70,Расценка!$N$3:$O$543,2,FALSE),"-")</f>
        <v>-</v>
      </c>
      <c r="I70" s="351">
        <f>IFERROR(SUMIFS('Трудозатраты членов ВТК'!$G$17:$G$117,'Трудозатраты членов ВТК'!$D$17:$D$117,B:B),"-")</f>
        <v>0</v>
      </c>
      <c r="J70" s="351">
        <f>IFERROR(SUMIFS('Трудозатраты членов ВТК'!$F$464:$F$713,'Трудозатраты членов ВТК'!$D$464:$D$713,B:B),"-")</f>
        <v>0</v>
      </c>
      <c r="K70" s="351" t="str">
        <f>IFERROR(ROUND($J70*VLOOKUP($H70,Расценка!$C$3:$E$12,3,FALSE),2),"-")</f>
        <v>-</v>
      </c>
      <c r="L70" s="638"/>
      <c r="M70" s="351">
        <f>IFERROR(SUMIFS('Трудозатраты членов ВТК'!$G$17:$G$117,'Трудозатраты членов ВТК'!$D$17:$D$117,B:B),"-")</f>
        <v>0</v>
      </c>
      <c r="N70" s="351">
        <f>IFERROR(SUMIFS('Трудозатраты членов ВТК'!$F$464:$F$713,'Трудозатраты членов ВТК'!$D$464:$D$713,B:B),"-")</f>
        <v>0</v>
      </c>
      <c r="O70" s="639"/>
      <c r="P70" s="351">
        <f>IFERROR(ROUND(IF('Состав ВТК'!$K66=справочник!$A$5,$N70*VLOOKUP($L70,Расценка!$C$3:$E$12,3,FALSE)*$O70,0),2),"-")</f>
        <v>0</v>
      </c>
    </row>
    <row r="71" spans="1:16" ht="15.75" x14ac:dyDescent="0.25">
      <c r="A71" s="247">
        <v>59</v>
      </c>
      <c r="B71" s="349">
        <f>'Состав ВТК'!$B67</f>
        <v>0</v>
      </c>
      <c r="C71" s="349" t="str">
        <f>IFERROR(VLOOKUP($B71,'Состав ВТК'!$B$9:$J$109,3,FALSE),"-")</f>
        <v>-</v>
      </c>
      <c r="D71" s="247" t="str">
        <f>IFERROR(VLOOKUP($B71,'Состав ВТК'!$B$9:$J$109,7,FALSE),"-")</f>
        <v>-</v>
      </c>
      <c r="E71" s="247" t="str">
        <f>IFERROR(VLOOKUP($B71,'Состав ВТК'!$B$9:$J$109,8,FALSE),"-")</f>
        <v>-</v>
      </c>
      <c r="F71" s="247" t="str">
        <f>IFERROR(VLOOKUP($B71,'Состав ВТК'!$B$9:$G$109,6,FALSE),"-")</f>
        <v>-</v>
      </c>
      <c r="G71" s="247" t="str">
        <f>IFERROR(VLOOKUP($B71,'Состав ВТК'!$B$9:$J$109,9,FALSE),"-")</f>
        <v>-</v>
      </c>
      <c r="H71" s="350" t="str">
        <f>IFERROR(VLOOKUP($C71,Расценка!$N$3:$O$543,2,FALSE),"-")</f>
        <v>-</v>
      </c>
      <c r="I71" s="351">
        <f>IFERROR(SUMIFS('Трудозатраты членов ВТК'!$G$17:$G$117,'Трудозатраты членов ВТК'!$D$17:$D$117,B:B),"-")</f>
        <v>0</v>
      </c>
      <c r="J71" s="351">
        <f>IFERROR(SUMIFS('Трудозатраты членов ВТК'!$F$464:$F$713,'Трудозатраты членов ВТК'!$D$464:$D$713,B:B),"-")</f>
        <v>0</v>
      </c>
      <c r="K71" s="351" t="str">
        <f>IFERROR(ROUND($J71*VLOOKUP($H71,Расценка!$C$3:$E$12,3,FALSE),2),"-")</f>
        <v>-</v>
      </c>
      <c r="L71" s="638"/>
      <c r="M71" s="351">
        <f>IFERROR(SUMIFS('Трудозатраты членов ВТК'!$G$17:$G$117,'Трудозатраты членов ВТК'!$D$17:$D$117,B:B),"-")</f>
        <v>0</v>
      </c>
      <c r="N71" s="351">
        <f>IFERROR(SUMIFS('Трудозатраты членов ВТК'!$F$464:$F$713,'Трудозатраты членов ВТК'!$D$464:$D$713,B:B),"-")</f>
        <v>0</v>
      </c>
      <c r="O71" s="639"/>
      <c r="P71" s="351">
        <f>IFERROR(ROUND(IF('Состав ВТК'!$K67=справочник!$A$5,$N71*VLOOKUP($L71,Расценка!$C$3:$E$12,3,FALSE)*$O71,0),2),"-")</f>
        <v>0</v>
      </c>
    </row>
    <row r="72" spans="1:16" ht="15.75" x14ac:dyDescent="0.25">
      <c r="A72" s="247">
        <v>60</v>
      </c>
      <c r="B72" s="349">
        <f>'Состав ВТК'!$B68</f>
        <v>0</v>
      </c>
      <c r="C72" s="349" t="str">
        <f>IFERROR(VLOOKUP($B72,'Состав ВТК'!$B$9:$J$109,3,FALSE),"-")</f>
        <v>-</v>
      </c>
      <c r="D72" s="247" t="str">
        <f>IFERROR(VLOOKUP($B72,'Состав ВТК'!$B$9:$J$109,7,FALSE),"-")</f>
        <v>-</v>
      </c>
      <c r="E72" s="247" t="str">
        <f>IFERROR(VLOOKUP($B72,'Состав ВТК'!$B$9:$J$109,8,FALSE),"-")</f>
        <v>-</v>
      </c>
      <c r="F72" s="247" t="str">
        <f>IFERROR(VLOOKUP($B72,'Состав ВТК'!$B$9:$G$109,6,FALSE),"-")</f>
        <v>-</v>
      </c>
      <c r="G72" s="247" t="str">
        <f>IFERROR(VLOOKUP($B72,'Состав ВТК'!$B$9:$J$109,9,FALSE),"-")</f>
        <v>-</v>
      </c>
      <c r="H72" s="350" t="str">
        <f>IFERROR(VLOOKUP($C72,Расценка!$N$3:$O$543,2,FALSE),"-")</f>
        <v>-</v>
      </c>
      <c r="I72" s="351">
        <f>IFERROR(SUMIFS('Трудозатраты членов ВТК'!$G$17:$G$117,'Трудозатраты членов ВТК'!$D$17:$D$117,B:B),"-")</f>
        <v>0</v>
      </c>
      <c r="J72" s="351">
        <f>IFERROR(SUMIFS('Трудозатраты членов ВТК'!$F$464:$F$713,'Трудозатраты членов ВТК'!$D$464:$D$713,B:B),"-")</f>
        <v>0</v>
      </c>
      <c r="K72" s="351" t="str">
        <f>IFERROR(ROUND($J72*VLOOKUP($H72,Расценка!$C$3:$E$12,3,FALSE),2),"-")</f>
        <v>-</v>
      </c>
      <c r="L72" s="638"/>
      <c r="M72" s="351">
        <f>IFERROR(SUMIFS('Трудозатраты членов ВТК'!$G$17:$G$117,'Трудозатраты членов ВТК'!$D$17:$D$117,B:B),"-")</f>
        <v>0</v>
      </c>
      <c r="N72" s="351">
        <f>IFERROR(SUMIFS('Трудозатраты членов ВТК'!$F$464:$F$713,'Трудозатраты членов ВТК'!$D$464:$D$713,B:B),"-")</f>
        <v>0</v>
      </c>
      <c r="O72" s="639"/>
      <c r="P72" s="351">
        <f>IFERROR(ROUND(IF('Состав ВТК'!$K68=справочник!$A$5,$N72*VLOOKUP($L72,Расценка!$C$3:$E$12,3,FALSE)*$O72,0),2),"-")</f>
        <v>0</v>
      </c>
    </row>
    <row r="73" spans="1:16" ht="15.75" x14ac:dyDescent="0.25">
      <c r="A73" s="247">
        <v>61</v>
      </c>
      <c r="B73" s="349">
        <f>'Состав ВТК'!$B69</f>
        <v>0</v>
      </c>
      <c r="C73" s="349" t="str">
        <f>IFERROR(VLOOKUP($B73,'Состав ВТК'!$B$9:$J$109,3,FALSE),"-")</f>
        <v>-</v>
      </c>
      <c r="D73" s="247" t="str">
        <f>IFERROR(VLOOKUP($B73,'Состав ВТК'!$B$9:$J$109,7,FALSE),"-")</f>
        <v>-</v>
      </c>
      <c r="E73" s="247" t="str">
        <f>IFERROR(VLOOKUP($B73,'Состав ВТК'!$B$9:$J$109,8,FALSE),"-")</f>
        <v>-</v>
      </c>
      <c r="F73" s="247" t="str">
        <f>IFERROR(VLOOKUP($B73,'Состав ВТК'!$B$9:$G$109,6,FALSE),"-")</f>
        <v>-</v>
      </c>
      <c r="G73" s="247" t="str">
        <f>IFERROR(VLOOKUP($B73,'Состав ВТК'!$B$9:$J$109,9,FALSE),"-")</f>
        <v>-</v>
      </c>
      <c r="H73" s="350" t="str">
        <f>IFERROR(VLOOKUP($C73,Расценка!$N$3:$O$543,2,FALSE),"-")</f>
        <v>-</v>
      </c>
      <c r="I73" s="351">
        <f>IFERROR(SUMIFS('Трудозатраты членов ВТК'!$G$17:$G$117,'Трудозатраты членов ВТК'!$D$17:$D$117,B:B),"-")</f>
        <v>0</v>
      </c>
      <c r="J73" s="351">
        <f>IFERROR(SUMIFS('Трудозатраты членов ВТК'!$F$464:$F$713,'Трудозатраты членов ВТК'!$D$464:$D$713,B:B),"-")</f>
        <v>0</v>
      </c>
      <c r="K73" s="351" t="str">
        <f>IFERROR(ROUND($J73*VLOOKUP($H73,Расценка!$C$3:$E$12,3,FALSE),2),"-")</f>
        <v>-</v>
      </c>
      <c r="L73" s="638"/>
      <c r="M73" s="351">
        <f>IFERROR(SUMIFS('Трудозатраты членов ВТК'!$G$17:$G$117,'Трудозатраты членов ВТК'!$D$17:$D$117,B:B),"-")</f>
        <v>0</v>
      </c>
      <c r="N73" s="351">
        <f>IFERROR(SUMIFS('Трудозатраты членов ВТК'!$F$464:$F$713,'Трудозатраты членов ВТК'!$D$464:$D$713,B:B),"-")</f>
        <v>0</v>
      </c>
      <c r="O73" s="639"/>
      <c r="P73" s="351">
        <f>IFERROR(ROUND(IF('Состав ВТК'!$K69=справочник!$A$5,$N73*VLOOKUP($L73,Расценка!$C$3:$E$12,3,FALSE)*$O73,0),2),"-")</f>
        <v>0</v>
      </c>
    </row>
    <row r="74" spans="1:16" ht="15.75" x14ac:dyDescent="0.25">
      <c r="A74" s="247">
        <v>62</v>
      </c>
      <c r="B74" s="349">
        <f>'Состав ВТК'!$B70</f>
        <v>0</v>
      </c>
      <c r="C74" s="349" t="str">
        <f>IFERROR(VLOOKUP($B74,'Состав ВТК'!$B$9:$J$109,3,FALSE),"-")</f>
        <v>-</v>
      </c>
      <c r="D74" s="247" t="str">
        <f>IFERROR(VLOOKUP($B74,'Состав ВТК'!$B$9:$J$109,7,FALSE),"-")</f>
        <v>-</v>
      </c>
      <c r="E74" s="247" t="str">
        <f>IFERROR(VLOOKUP($B74,'Состав ВТК'!$B$9:$J$109,8,FALSE),"-")</f>
        <v>-</v>
      </c>
      <c r="F74" s="247" t="str">
        <f>IFERROR(VLOOKUP($B74,'Состав ВТК'!$B$9:$G$109,6,FALSE),"-")</f>
        <v>-</v>
      </c>
      <c r="G74" s="247" t="str">
        <f>IFERROR(VLOOKUP($B74,'Состав ВТК'!$B$9:$J$109,9,FALSE),"-")</f>
        <v>-</v>
      </c>
      <c r="H74" s="350" t="str">
        <f>IFERROR(VLOOKUP($C74,Расценка!$N$3:$O$543,2,FALSE),"-")</f>
        <v>-</v>
      </c>
      <c r="I74" s="351">
        <f>IFERROR(SUMIFS('Трудозатраты членов ВТК'!$G$17:$G$117,'Трудозатраты членов ВТК'!$D$17:$D$117,B:B),"-")</f>
        <v>0</v>
      </c>
      <c r="J74" s="351">
        <f>IFERROR(SUMIFS('Трудозатраты членов ВТК'!$F$464:$F$713,'Трудозатраты членов ВТК'!$D$464:$D$713,B:B),"-")</f>
        <v>0</v>
      </c>
      <c r="K74" s="351" t="str">
        <f>IFERROR(ROUND($J74*VLOOKUP($H74,Расценка!$C$3:$E$12,3,FALSE),2),"-")</f>
        <v>-</v>
      </c>
      <c r="L74" s="638"/>
      <c r="M74" s="351">
        <f>IFERROR(SUMIFS('Трудозатраты членов ВТК'!$G$17:$G$117,'Трудозатраты членов ВТК'!$D$17:$D$117,B:B),"-")</f>
        <v>0</v>
      </c>
      <c r="N74" s="351">
        <f>IFERROR(SUMIFS('Трудозатраты членов ВТК'!$F$464:$F$713,'Трудозатраты членов ВТК'!$D$464:$D$713,B:B),"-")</f>
        <v>0</v>
      </c>
      <c r="O74" s="639"/>
      <c r="P74" s="351">
        <f>IFERROR(ROUND(IF('Состав ВТК'!$K70=справочник!$A$5,$N74*VLOOKUP($L74,Расценка!$C$3:$E$12,3,FALSE)*$O74,0),2),"-")</f>
        <v>0</v>
      </c>
    </row>
    <row r="75" spans="1:16" ht="15.75" x14ac:dyDescent="0.25">
      <c r="A75" s="247">
        <v>63</v>
      </c>
      <c r="B75" s="349">
        <f>'Состав ВТК'!$B71</f>
        <v>0</v>
      </c>
      <c r="C75" s="349" t="str">
        <f>IFERROR(VLOOKUP($B75,'Состав ВТК'!$B$9:$J$109,3,FALSE),"-")</f>
        <v>-</v>
      </c>
      <c r="D75" s="247" t="str">
        <f>IFERROR(VLOOKUP($B75,'Состав ВТК'!$B$9:$J$109,7,FALSE),"-")</f>
        <v>-</v>
      </c>
      <c r="E75" s="247" t="str">
        <f>IFERROR(VLOOKUP($B75,'Состав ВТК'!$B$9:$J$109,8,FALSE),"-")</f>
        <v>-</v>
      </c>
      <c r="F75" s="247" t="str">
        <f>IFERROR(VLOOKUP($B75,'Состав ВТК'!$B$9:$G$109,6,FALSE),"-")</f>
        <v>-</v>
      </c>
      <c r="G75" s="247" t="str">
        <f>IFERROR(VLOOKUP($B75,'Состав ВТК'!$B$9:$J$109,9,FALSE),"-")</f>
        <v>-</v>
      </c>
      <c r="H75" s="350" t="str">
        <f>IFERROR(VLOOKUP($C75,Расценка!$N$3:$O$543,2,FALSE),"-")</f>
        <v>-</v>
      </c>
      <c r="I75" s="351">
        <f>IFERROR(SUMIFS('Трудозатраты членов ВТК'!$G$17:$G$117,'Трудозатраты членов ВТК'!$D$17:$D$117,B:B),"-")</f>
        <v>0</v>
      </c>
      <c r="J75" s="351">
        <f>IFERROR(SUMIFS('Трудозатраты членов ВТК'!$F$464:$F$713,'Трудозатраты членов ВТК'!$D$464:$D$713,B:B),"-")</f>
        <v>0</v>
      </c>
      <c r="K75" s="351" t="str">
        <f>IFERROR(ROUND($J75*VLOOKUP($H75,Расценка!$C$3:$E$12,3,FALSE),2),"-")</f>
        <v>-</v>
      </c>
      <c r="L75" s="638"/>
      <c r="M75" s="351">
        <f>IFERROR(SUMIFS('Трудозатраты членов ВТК'!$G$17:$G$117,'Трудозатраты членов ВТК'!$D$17:$D$117,B:B),"-")</f>
        <v>0</v>
      </c>
      <c r="N75" s="351">
        <f>IFERROR(SUMIFS('Трудозатраты членов ВТК'!$F$464:$F$713,'Трудозатраты членов ВТК'!$D$464:$D$713,B:B),"-")</f>
        <v>0</v>
      </c>
      <c r="O75" s="639"/>
      <c r="P75" s="351">
        <f>IFERROR(ROUND(IF('Состав ВТК'!$K71=справочник!$A$5,$N75*VLOOKUP($L75,Расценка!$C$3:$E$12,3,FALSE)*$O75,0),2),"-")</f>
        <v>0</v>
      </c>
    </row>
    <row r="76" spans="1:16" ht="15.75" x14ac:dyDescent="0.25">
      <c r="A76" s="247">
        <v>64</v>
      </c>
      <c r="B76" s="349">
        <f>'Состав ВТК'!$B72</f>
        <v>0</v>
      </c>
      <c r="C76" s="349" t="str">
        <f>IFERROR(VLOOKUP($B76,'Состав ВТК'!$B$9:$J$109,3,FALSE),"-")</f>
        <v>-</v>
      </c>
      <c r="D76" s="247" t="str">
        <f>IFERROR(VLOOKUP($B76,'Состав ВТК'!$B$9:$J$109,7,FALSE),"-")</f>
        <v>-</v>
      </c>
      <c r="E76" s="247" t="str">
        <f>IFERROR(VLOOKUP($B76,'Состав ВТК'!$B$9:$J$109,8,FALSE),"-")</f>
        <v>-</v>
      </c>
      <c r="F76" s="247" t="str">
        <f>IFERROR(VLOOKUP($B76,'Состав ВТК'!$B$9:$G$109,6,FALSE),"-")</f>
        <v>-</v>
      </c>
      <c r="G76" s="247" t="str">
        <f>IFERROR(VLOOKUP($B76,'Состав ВТК'!$B$9:$J$109,9,FALSE),"-")</f>
        <v>-</v>
      </c>
      <c r="H76" s="350" t="str">
        <f>IFERROR(VLOOKUP($C76,Расценка!$N$3:$O$543,2,FALSE),"-")</f>
        <v>-</v>
      </c>
      <c r="I76" s="351">
        <f>IFERROR(SUMIFS('Трудозатраты членов ВТК'!$G$17:$G$117,'Трудозатраты членов ВТК'!$D$17:$D$117,B:B),"-")</f>
        <v>0</v>
      </c>
      <c r="J76" s="351">
        <f>IFERROR(SUMIFS('Трудозатраты членов ВТК'!$F$464:$F$713,'Трудозатраты членов ВТК'!$D$464:$D$713,B:B),"-")</f>
        <v>0</v>
      </c>
      <c r="K76" s="351" t="str">
        <f>IFERROR(ROUND($J76*VLOOKUP($H76,Расценка!$C$3:$E$12,3,FALSE),2),"-")</f>
        <v>-</v>
      </c>
      <c r="L76" s="638"/>
      <c r="M76" s="351">
        <f>IFERROR(SUMIFS('Трудозатраты членов ВТК'!$G$17:$G$117,'Трудозатраты членов ВТК'!$D$17:$D$117,B:B),"-")</f>
        <v>0</v>
      </c>
      <c r="N76" s="351">
        <f>IFERROR(SUMIFS('Трудозатраты членов ВТК'!$F$464:$F$713,'Трудозатраты членов ВТК'!$D$464:$D$713,B:B),"-")</f>
        <v>0</v>
      </c>
      <c r="O76" s="639"/>
      <c r="P76" s="351">
        <f>IFERROR(ROUND(IF('Состав ВТК'!$K72=справочник!$A$5,$N76*VLOOKUP($L76,Расценка!$C$3:$E$12,3,FALSE)*$O76,0),2),"-")</f>
        <v>0</v>
      </c>
    </row>
    <row r="77" spans="1:16" ht="15.75" x14ac:dyDescent="0.25">
      <c r="A77" s="247">
        <v>65</v>
      </c>
      <c r="B77" s="349">
        <f>'Состав ВТК'!$B73</f>
        <v>0</v>
      </c>
      <c r="C77" s="349" t="str">
        <f>IFERROR(VLOOKUP($B77,'Состав ВТК'!$B$9:$J$109,3,FALSE),"-")</f>
        <v>-</v>
      </c>
      <c r="D77" s="247" t="str">
        <f>IFERROR(VLOOKUP($B77,'Состав ВТК'!$B$9:$J$109,7,FALSE),"-")</f>
        <v>-</v>
      </c>
      <c r="E77" s="247" t="str">
        <f>IFERROR(VLOOKUP($B77,'Состав ВТК'!$B$9:$J$109,8,FALSE),"-")</f>
        <v>-</v>
      </c>
      <c r="F77" s="247" t="str">
        <f>IFERROR(VLOOKUP($B77,'Состав ВТК'!$B$9:$G$109,6,FALSE),"-")</f>
        <v>-</v>
      </c>
      <c r="G77" s="247" t="str">
        <f>IFERROR(VLOOKUP($B77,'Состав ВТК'!$B$9:$J$109,9,FALSE),"-")</f>
        <v>-</v>
      </c>
      <c r="H77" s="350" t="str">
        <f>IFERROR(VLOOKUP($C77,Расценка!$N$3:$O$543,2,FALSE),"-")</f>
        <v>-</v>
      </c>
      <c r="I77" s="351">
        <f>IFERROR(SUMIFS('Трудозатраты членов ВТК'!$G$17:$G$117,'Трудозатраты членов ВТК'!$D$17:$D$117,B:B),"-")</f>
        <v>0</v>
      </c>
      <c r="J77" s="351">
        <f>IFERROR(SUMIFS('Трудозатраты членов ВТК'!$F$464:$F$713,'Трудозатраты членов ВТК'!$D$464:$D$713,B:B),"-")</f>
        <v>0</v>
      </c>
      <c r="K77" s="351" t="str">
        <f>IFERROR(ROUND($J77*VLOOKUP($H77,Расценка!$C$3:$E$12,3,FALSE),2),"-")</f>
        <v>-</v>
      </c>
      <c r="L77" s="638"/>
      <c r="M77" s="351">
        <f>IFERROR(SUMIFS('Трудозатраты членов ВТК'!$G$17:$G$117,'Трудозатраты членов ВТК'!$D$17:$D$117,B:B),"-")</f>
        <v>0</v>
      </c>
      <c r="N77" s="351">
        <f>IFERROR(SUMIFS('Трудозатраты членов ВТК'!$F$464:$F$713,'Трудозатраты членов ВТК'!$D$464:$D$713,B:B),"-")</f>
        <v>0</v>
      </c>
      <c r="O77" s="639"/>
      <c r="P77" s="351">
        <f>IFERROR(ROUND(IF('Состав ВТК'!$K73=справочник!$A$5,$N77*VLOOKUP($L77,Расценка!$C$3:$E$12,3,FALSE)*$O77,0),2),"-")</f>
        <v>0</v>
      </c>
    </row>
    <row r="78" spans="1:16" ht="15.75" x14ac:dyDescent="0.25">
      <c r="A78" s="247">
        <v>66</v>
      </c>
      <c r="B78" s="349">
        <f>'Состав ВТК'!$B74</f>
        <v>0</v>
      </c>
      <c r="C78" s="349" t="str">
        <f>IFERROR(VLOOKUP($B78,'Состав ВТК'!$B$9:$J$109,3,FALSE),"-")</f>
        <v>-</v>
      </c>
      <c r="D78" s="247" t="str">
        <f>IFERROR(VLOOKUP($B78,'Состав ВТК'!$B$9:$J$109,7,FALSE),"-")</f>
        <v>-</v>
      </c>
      <c r="E78" s="247" t="str">
        <f>IFERROR(VLOOKUP($B78,'Состав ВТК'!$B$9:$J$109,8,FALSE),"-")</f>
        <v>-</v>
      </c>
      <c r="F78" s="247" t="str">
        <f>IFERROR(VLOOKUP($B78,'Состав ВТК'!$B$9:$G$109,6,FALSE),"-")</f>
        <v>-</v>
      </c>
      <c r="G78" s="247" t="str">
        <f>IFERROR(VLOOKUP($B78,'Состав ВТК'!$B$9:$J$109,9,FALSE),"-")</f>
        <v>-</v>
      </c>
      <c r="H78" s="350" t="str">
        <f>IFERROR(VLOOKUP($C78,Расценка!$N$3:$O$543,2,FALSE),"-")</f>
        <v>-</v>
      </c>
      <c r="I78" s="351">
        <f>IFERROR(SUMIFS('Трудозатраты членов ВТК'!$G$17:$G$117,'Трудозатраты членов ВТК'!$D$17:$D$117,B:B),"-")</f>
        <v>0</v>
      </c>
      <c r="J78" s="351">
        <f>IFERROR(SUMIFS('Трудозатраты членов ВТК'!$F$464:$F$713,'Трудозатраты членов ВТК'!$D$464:$D$713,B:B),"-")</f>
        <v>0</v>
      </c>
      <c r="K78" s="351" t="str">
        <f>IFERROR(ROUND($J78*VLOOKUP($H78,Расценка!$C$3:$E$12,3,FALSE),2),"-")</f>
        <v>-</v>
      </c>
      <c r="L78" s="638"/>
      <c r="M78" s="351">
        <f>IFERROR(SUMIFS('Трудозатраты членов ВТК'!$G$17:$G$117,'Трудозатраты членов ВТК'!$D$17:$D$117,B:B),"-")</f>
        <v>0</v>
      </c>
      <c r="N78" s="351">
        <f>IFERROR(SUMIFS('Трудозатраты членов ВТК'!$F$464:$F$713,'Трудозатраты членов ВТК'!$D$464:$D$713,B:B),"-")</f>
        <v>0</v>
      </c>
      <c r="O78" s="639"/>
      <c r="P78" s="351">
        <f>IFERROR(ROUND(IF('Состав ВТК'!$K74=справочник!$A$5,$N78*VLOOKUP($L78,Расценка!$C$3:$E$12,3,FALSE)*$O78,0),2),"-")</f>
        <v>0</v>
      </c>
    </row>
    <row r="79" spans="1:16" ht="15.75" x14ac:dyDescent="0.25">
      <c r="A79" s="247">
        <v>67</v>
      </c>
      <c r="B79" s="349">
        <f>'Состав ВТК'!$B75</f>
        <v>0</v>
      </c>
      <c r="C79" s="349" t="str">
        <f>IFERROR(VLOOKUP($B79,'Состав ВТК'!$B$9:$J$109,3,FALSE),"-")</f>
        <v>-</v>
      </c>
      <c r="D79" s="247" t="str">
        <f>IFERROR(VLOOKUP($B79,'Состав ВТК'!$B$9:$J$109,7,FALSE),"-")</f>
        <v>-</v>
      </c>
      <c r="E79" s="247" t="str">
        <f>IFERROR(VLOOKUP($B79,'Состав ВТК'!$B$9:$J$109,8,FALSE),"-")</f>
        <v>-</v>
      </c>
      <c r="F79" s="247" t="str">
        <f>IFERROR(VLOOKUP($B79,'Состав ВТК'!$B$9:$G$109,6,FALSE),"-")</f>
        <v>-</v>
      </c>
      <c r="G79" s="247" t="str">
        <f>IFERROR(VLOOKUP($B79,'Состав ВТК'!$B$9:$J$109,9,FALSE),"-")</f>
        <v>-</v>
      </c>
      <c r="H79" s="350" t="str">
        <f>IFERROR(VLOOKUP($C79,Расценка!$N$3:$O$543,2,FALSE),"-")</f>
        <v>-</v>
      </c>
      <c r="I79" s="351">
        <f>IFERROR(SUMIFS('Трудозатраты членов ВТК'!$G$17:$G$117,'Трудозатраты членов ВТК'!$D$17:$D$117,B:B),"-")</f>
        <v>0</v>
      </c>
      <c r="J79" s="351">
        <f>IFERROR(SUMIFS('Трудозатраты членов ВТК'!$F$464:$F$713,'Трудозатраты членов ВТК'!$D$464:$D$713,B:B),"-")</f>
        <v>0</v>
      </c>
      <c r="K79" s="351" t="str">
        <f>IFERROR(ROUND($J79*VLOOKUP($H79,Расценка!$C$3:$E$12,3,FALSE),2),"-")</f>
        <v>-</v>
      </c>
      <c r="L79" s="638"/>
      <c r="M79" s="351">
        <f>IFERROR(SUMIFS('Трудозатраты членов ВТК'!$G$17:$G$117,'Трудозатраты членов ВТК'!$D$17:$D$117,B:B),"-")</f>
        <v>0</v>
      </c>
      <c r="N79" s="351">
        <f>IFERROR(SUMIFS('Трудозатраты членов ВТК'!$F$464:$F$713,'Трудозатраты членов ВТК'!$D$464:$D$713,B:B),"-")</f>
        <v>0</v>
      </c>
      <c r="O79" s="639"/>
      <c r="P79" s="351">
        <f>IFERROR(ROUND(IF('Состав ВТК'!$K75=справочник!$A$5,$N79*VLOOKUP($L79,Расценка!$C$3:$E$12,3,FALSE)*$O79,0),2),"-")</f>
        <v>0</v>
      </c>
    </row>
    <row r="80" spans="1:16" ht="15.75" x14ac:dyDescent="0.25">
      <c r="A80" s="247">
        <v>68</v>
      </c>
      <c r="B80" s="349">
        <f>'Состав ВТК'!$B76</f>
        <v>0</v>
      </c>
      <c r="C80" s="349" t="str">
        <f>IFERROR(VLOOKUP($B80,'Состав ВТК'!$B$9:$J$109,3,FALSE),"-")</f>
        <v>-</v>
      </c>
      <c r="D80" s="247" t="str">
        <f>IFERROR(VLOOKUP($B80,'Состав ВТК'!$B$9:$J$109,7,FALSE),"-")</f>
        <v>-</v>
      </c>
      <c r="E80" s="247" t="str">
        <f>IFERROR(VLOOKUP($B80,'Состав ВТК'!$B$9:$J$109,8,FALSE),"-")</f>
        <v>-</v>
      </c>
      <c r="F80" s="247" t="str">
        <f>IFERROR(VLOOKUP($B80,'Состав ВТК'!$B$9:$G$109,6,FALSE),"-")</f>
        <v>-</v>
      </c>
      <c r="G80" s="247" t="str">
        <f>IFERROR(VLOOKUP($B80,'Состав ВТК'!$B$9:$J$109,9,FALSE),"-")</f>
        <v>-</v>
      </c>
      <c r="H80" s="350" t="str">
        <f>IFERROR(VLOOKUP($C80,Расценка!$N$3:$O$543,2,FALSE),"-")</f>
        <v>-</v>
      </c>
      <c r="I80" s="351">
        <f>IFERROR(SUMIFS('Трудозатраты членов ВТК'!$G$17:$G$117,'Трудозатраты членов ВТК'!$D$17:$D$117,B:B),"-")</f>
        <v>0</v>
      </c>
      <c r="J80" s="351">
        <f>IFERROR(SUMIFS('Трудозатраты членов ВТК'!$F$464:$F$713,'Трудозатраты членов ВТК'!$D$464:$D$713,B:B),"-")</f>
        <v>0</v>
      </c>
      <c r="K80" s="351" t="str">
        <f>IFERROR(ROUND($J80*VLOOKUP($H80,Расценка!$C$3:$E$12,3,FALSE),2),"-")</f>
        <v>-</v>
      </c>
      <c r="L80" s="638"/>
      <c r="M80" s="351">
        <f>IFERROR(SUMIFS('Трудозатраты членов ВТК'!$G$17:$G$117,'Трудозатраты членов ВТК'!$D$17:$D$117,B:B),"-")</f>
        <v>0</v>
      </c>
      <c r="N80" s="351">
        <f>IFERROR(SUMIFS('Трудозатраты членов ВТК'!$F$464:$F$713,'Трудозатраты членов ВТК'!$D$464:$D$713,B:B),"-")</f>
        <v>0</v>
      </c>
      <c r="O80" s="639"/>
      <c r="P80" s="351">
        <f>IFERROR(ROUND(IF('Состав ВТК'!$K76=справочник!$A$5,$N80*VLOOKUP($L80,Расценка!$C$3:$E$12,3,FALSE)*$O80,0),2),"-")</f>
        <v>0</v>
      </c>
    </row>
    <row r="81" spans="1:16" ht="15.75" x14ac:dyDescent="0.25">
      <c r="A81" s="247">
        <v>69</v>
      </c>
      <c r="B81" s="349">
        <f>'Состав ВТК'!$B77</f>
        <v>0</v>
      </c>
      <c r="C81" s="349" t="str">
        <f>IFERROR(VLOOKUP($B81,'Состав ВТК'!$B$9:$J$109,3,FALSE),"-")</f>
        <v>-</v>
      </c>
      <c r="D81" s="247" t="str">
        <f>IFERROR(VLOOKUP($B81,'Состав ВТК'!$B$9:$J$109,7,FALSE),"-")</f>
        <v>-</v>
      </c>
      <c r="E81" s="247" t="str">
        <f>IFERROR(VLOOKUP($B81,'Состав ВТК'!$B$9:$J$109,8,FALSE),"-")</f>
        <v>-</v>
      </c>
      <c r="F81" s="247" t="str">
        <f>IFERROR(VLOOKUP($B81,'Состав ВТК'!$B$9:$G$109,6,FALSE),"-")</f>
        <v>-</v>
      </c>
      <c r="G81" s="247" t="str">
        <f>IFERROR(VLOOKUP($B81,'Состав ВТК'!$B$9:$J$109,9,FALSE),"-")</f>
        <v>-</v>
      </c>
      <c r="H81" s="350" t="str">
        <f>IFERROR(VLOOKUP($C81,Расценка!$N$3:$O$543,2,FALSE),"-")</f>
        <v>-</v>
      </c>
      <c r="I81" s="351">
        <f>IFERROR(SUMIFS('Трудозатраты членов ВТК'!$G$17:$G$117,'Трудозатраты членов ВТК'!$D$17:$D$117,B:B),"-")</f>
        <v>0</v>
      </c>
      <c r="J81" s="351">
        <f>IFERROR(SUMIFS('Трудозатраты членов ВТК'!$F$464:$F$713,'Трудозатраты членов ВТК'!$D$464:$D$713,B:B),"-")</f>
        <v>0</v>
      </c>
      <c r="K81" s="351" t="str">
        <f>IFERROR(ROUND($J81*VLOOKUP($H81,Расценка!$C$3:$E$12,3,FALSE),2),"-")</f>
        <v>-</v>
      </c>
      <c r="L81" s="638"/>
      <c r="M81" s="351">
        <f>IFERROR(SUMIFS('Трудозатраты членов ВТК'!$G$17:$G$117,'Трудозатраты членов ВТК'!$D$17:$D$117,B:B),"-")</f>
        <v>0</v>
      </c>
      <c r="N81" s="351">
        <f>IFERROR(SUMIFS('Трудозатраты членов ВТК'!$F$464:$F$713,'Трудозатраты членов ВТК'!$D$464:$D$713,B:B),"-")</f>
        <v>0</v>
      </c>
      <c r="O81" s="639"/>
      <c r="P81" s="351">
        <f>IFERROR(ROUND(IF('Состав ВТК'!$K77=справочник!$A$5,$N81*VLOOKUP($L81,Расценка!$C$3:$E$12,3,FALSE)*$O81,0),2),"-")</f>
        <v>0</v>
      </c>
    </row>
    <row r="82" spans="1:16" ht="15.75" x14ac:dyDescent="0.25">
      <c r="A82" s="247">
        <v>70</v>
      </c>
      <c r="B82" s="349">
        <f>'Состав ВТК'!$B78</f>
        <v>0</v>
      </c>
      <c r="C82" s="349" t="str">
        <f>IFERROR(VLOOKUP($B82,'Состав ВТК'!$B$9:$J$109,3,FALSE),"-")</f>
        <v>-</v>
      </c>
      <c r="D82" s="247" t="str">
        <f>IFERROR(VLOOKUP($B82,'Состав ВТК'!$B$9:$J$109,7,FALSE),"-")</f>
        <v>-</v>
      </c>
      <c r="E82" s="247" t="str">
        <f>IFERROR(VLOOKUP($B82,'Состав ВТК'!$B$9:$J$109,8,FALSE),"-")</f>
        <v>-</v>
      </c>
      <c r="F82" s="247" t="str">
        <f>IFERROR(VLOOKUP($B82,'Состав ВТК'!$B$9:$G$109,6,FALSE),"-")</f>
        <v>-</v>
      </c>
      <c r="G82" s="247" t="str">
        <f>IFERROR(VLOOKUP($B82,'Состав ВТК'!$B$9:$J$109,9,FALSE),"-")</f>
        <v>-</v>
      </c>
      <c r="H82" s="350" t="str">
        <f>IFERROR(VLOOKUP($C82,Расценка!$N$3:$O$543,2,FALSE),"-")</f>
        <v>-</v>
      </c>
      <c r="I82" s="351">
        <f>IFERROR(SUMIFS('Трудозатраты членов ВТК'!$G$17:$G$117,'Трудозатраты членов ВТК'!$D$17:$D$117,B:B),"-")</f>
        <v>0</v>
      </c>
      <c r="J82" s="351">
        <f>IFERROR(SUMIFS('Трудозатраты членов ВТК'!$F$464:$F$713,'Трудозатраты членов ВТК'!$D$464:$D$713,B:B),"-")</f>
        <v>0</v>
      </c>
      <c r="K82" s="351" t="str">
        <f>IFERROR(ROUND($J82*VLOOKUP($H82,Расценка!$C$3:$E$12,3,FALSE),2),"-")</f>
        <v>-</v>
      </c>
      <c r="L82" s="638"/>
      <c r="M82" s="351">
        <f>IFERROR(SUMIFS('Трудозатраты членов ВТК'!$G$17:$G$117,'Трудозатраты членов ВТК'!$D$17:$D$117,B:B),"-")</f>
        <v>0</v>
      </c>
      <c r="N82" s="351">
        <f>IFERROR(SUMIFS('Трудозатраты членов ВТК'!$F$464:$F$713,'Трудозатраты членов ВТК'!$D$464:$D$713,B:B),"-")</f>
        <v>0</v>
      </c>
      <c r="O82" s="639"/>
      <c r="P82" s="351">
        <f>IFERROR(ROUND(IF('Состав ВТК'!$K78=справочник!$A$5,$N82*VLOOKUP($L82,Расценка!$C$3:$E$12,3,FALSE)*$O82,0),2),"-")</f>
        <v>0</v>
      </c>
    </row>
    <row r="83" spans="1:16" ht="15.75" x14ac:dyDescent="0.25">
      <c r="A83" s="247">
        <v>71</v>
      </c>
      <c r="B83" s="349">
        <f>'Состав ВТК'!$B79</f>
        <v>0</v>
      </c>
      <c r="C83" s="349" t="str">
        <f>IFERROR(VLOOKUP($B83,'Состав ВТК'!$B$9:$J$109,3,FALSE),"-")</f>
        <v>-</v>
      </c>
      <c r="D83" s="247" t="str">
        <f>IFERROR(VLOOKUP($B83,'Состав ВТК'!$B$9:$J$109,7,FALSE),"-")</f>
        <v>-</v>
      </c>
      <c r="E83" s="247" t="str">
        <f>IFERROR(VLOOKUP($B83,'Состав ВТК'!$B$9:$J$109,8,FALSE),"-")</f>
        <v>-</v>
      </c>
      <c r="F83" s="247" t="str">
        <f>IFERROR(VLOOKUP($B83,'Состав ВТК'!$B$9:$G$109,6,FALSE),"-")</f>
        <v>-</v>
      </c>
      <c r="G83" s="247" t="str">
        <f>IFERROR(VLOOKUP($B83,'Состав ВТК'!$B$9:$J$109,9,FALSE),"-")</f>
        <v>-</v>
      </c>
      <c r="H83" s="350" t="str">
        <f>IFERROR(VLOOKUP($C83,Расценка!$N$3:$O$543,2,FALSE),"-")</f>
        <v>-</v>
      </c>
      <c r="I83" s="351">
        <f>IFERROR(SUMIFS('Трудозатраты членов ВТК'!$G$17:$G$117,'Трудозатраты членов ВТК'!$D$17:$D$117,B:B),"-")</f>
        <v>0</v>
      </c>
      <c r="J83" s="351">
        <f>IFERROR(SUMIFS('Трудозатраты членов ВТК'!$F$464:$F$713,'Трудозатраты членов ВТК'!$D$464:$D$713,B:B),"-")</f>
        <v>0</v>
      </c>
      <c r="K83" s="351" t="str">
        <f>IFERROR(ROUND($J83*VLOOKUP($H83,Расценка!$C$3:$E$12,3,FALSE),2),"-")</f>
        <v>-</v>
      </c>
      <c r="L83" s="638"/>
      <c r="M83" s="351">
        <f>IFERROR(SUMIFS('Трудозатраты членов ВТК'!$G$17:$G$117,'Трудозатраты членов ВТК'!$D$17:$D$117,B:B),"-")</f>
        <v>0</v>
      </c>
      <c r="N83" s="351">
        <f>IFERROR(SUMIFS('Трудозатраты членов ВТК'!$F$464:$F$713,'Трудозатраты членов ВТК'!$D$464:$D$713,B:B),"-")</f>
        <v>0</v>
      </c>
      <c r="O83" s="639"/>
      <c r="P83" s="351">
        <f>IFERROR(ROUND(IF('Состав ВТК'!$K79=справочник!$A$5,$N83*VLOOKUP($L83,Расценка!$C$3:$E$12,3,FALSE)*$O83,0),2),"-")</f>
        <v>0</v>
      </c>
    </row>
    <row r="84" spans="1:16" ht="15.75" x14ac:dyDescent="0.25">
      <c r="A84" s="247">
        <v>72</v>
      </c>
      <c r="B84" s="349">
        <f>'Состав ВТК'!$B80</f>
        <v>0</v>
      </c>
      <c r="C84" s="349" t="str">
        <f>IFERROR(VLOOKUP($B84,'Состав ВТК'!$B$9:$J$109,3,FALSE),"-")</f>
        <v>-</v>
      </c>
      <c r="D84" s="247" t="str">
        <f>IFERROR(VLOOKUP($B84,'Состав ВТК'!$B$9:$J$109,7,FALSE),"-")</f>
        <v>-</v>
      </c>
      <c r="E84" s="247" t="str">
        <f>IFERROR(VLOOKUP($B84,'Состав ВТК'!$B$9:$J$109,8,FALSE),"-")</f>
        <v>-</v>
      </c>
      <c r="F84" s="247" t="str">
        <f>IFERROR(VLOOKUP($B84,'Состав ВТК'!$B$9:$G$109,6,FALSE),"-")</f>
        <v>-</v>
      </c>
      <c r="G84" s="247" t="str">
        <f>IFERROR(VLOOKUP($B84,'Состав ВТК'!$B$9:$J$109,9,FALSE),"-")</f>
        <v>-</v>
      </c>
      <c r="H84" s="350" t="str">
        <f>IFERROR(VLOOKUP($C84,Расценка!$N$3:$O$543,2,FALSE),"-")</f>
        <v>-</v>
      </c>
      <c r="I84" s="351">
        <f>IFERROR(SUMIFS('Трудозатраты членов ВТК'!$G$17:$G$117,'Трудозатраты членов ВТК'!$D$17:$D$117,B:B),"-")</f>
        <v>0</v>
      </c>
      <c r="J84" s="351">
        <f>IFERROR(SUMIFS('Трудозатраты членов ВТК'!$F$464:$F$713,'Трудозатраты членов ВТК'!$D$464:$D$713,B:B),"-")</f>
        <v>0</v>
      </c>
      <c r="K84" s="351" t="str">
        <f>IFERROR(ROUND($J84*VLOOKUP($H84,Расценка!$C$3:$E$12,3,FALSE),2),"-")</f>
        <v>-</v>
      </c>
      <c r="L84" s="638"/>
      <c r="M84" s="351">
        <f>IFERROR(SUMIFS('Трудозатраты членов ВТК'!$G$17:$G$117,'Трудозатраты членов ВТК'!$D$17:$D$117,B:B),"-")</f>
        <v>0</v>
      </c>
      <c r="N84" s="351">
        <f>IFERROR(SUMIFS('Трудозатраты членов ВТК'!$F$464:$F$713,'Трудозатраты членов ВТК'!$D$464:$D$713,B:B),"-")</f>
        <v>0</v>
      </c>
      <c r="O84" s="639"/>
      <c r="P84" s="351">
        <f>IFERROR(ROUND(IF('Состав ВТК'!$K80=справочник!$A$5,$N84*VLOOKUP($L84,Расценка!$C$3:$E$12,3,FALSE)*$O84,0),2),"-")</f>
        <v>0</v>
      </c>
    </row>
    <row r="85" spans="1:16" ht="15.75" x14ac:dyDescent="0.25">
      <c r="A85" s="247">
        <v>73</v>
      </c>
      <c r="B85" s="349">
        <f>'Состав ВТК'!$B81</f>
        <v>0</v>
      </c>
      <c r="C85" s="349" t="str">
        <f>IFERROR(VLOOKUP($B85,'Состав ВТК'!$B$9:$J$109,3,FALSE),"-")</f>
        <v>-</v>
      </c>
      <c r="D85" s="247" t="str">
        <f>IFERROR(VLOOKUP($B85,'Состав ВТК'!$B$9:$J$109,7,FALSE),"-")</f>
        <v>-</v>
      </c>
      <c r="E85" s="247" t="str">
        <f>IFERROR(VLOOKUP($B85,'Состав ВТК'!$B$9:$J$109,8,FALSE),"-")</f>
        <v>-</v>
      </c>
      <c r="F85" s="247" t="str">
        <f>IFERROR(VLOOKUP($B85,'Состав ВТК'!$B$9:$G$109,6,FALSE),"-")</f>
        <v>-</v>
      </c>
      <c r="G85" s="247" t="str">
        <f>IFERROR(VLOOKUP($B85,'Состав ВТК'!$B$9:$J$109,9,FALSE),"-")</f>
        <v>-</v>
      </c>
      <c r="H85" s="350" t="str">
        <f>IFERROR(VLOOKUP($C85,Расценка!$N$3:$O$543,2,FALSE),"-")</f>
        <v>-</v>
      </c>
      <c r="I85" s="351">
        <f>IFERROR(SUMIFS('Трудозатраты членов ВТК'!$G$17:$G$117,'Трудозатраты членов ВТК'!$D$17:$D$117,B:B),"-")</f>
        <v>0</v>
      </c>
      <c r="J85" s="351">
        <f>IFERROR(SUMIFS('Трудозатраты членов ВТК'!$F$464:$F$713,'Трудозатраты членов ВТК'!$D$464:$D$713,B:B),"-")</f>
        <v>0</v>
      </c>
      <c r="K85" s="351" t="str">
        <f>IFERROR(ROUND($J85*VLOOKUP($H85,Расценка!$C$3:$E$12,3,FALSE),2),"-")</f>
        <v>-</v>
      </c>
      <c r="L85" s="638"/>
      <c r="M85" s="351">
        <f>IFERROR(SUMIFS('Трудозатраты членов ВТК'!$G$17:$G$117,'Трудозатраты членов ВТК'!$D$17:$D$117,B:B),"-")</f>
        <v>0</v>
      </c>
      <c r="N85" s="351">
        <f>IFERROR(SUMIFS('Трудозатраты членов ВТК'!$F$464:$F$713,'Трудозатраты членов ВТК'!$D$464:$D$713,B:B),"-")</f>
        <v>0</v>
      </c>
      <c r="O85" s="639"/>
      <c r="P85" s="351">
        <f>IFERROR(ROUND(IF('Состав ВТК'!$K81=справочник!$A$5,$N85*VLOOKUP($L85,Расценка!$C$3:$E$12,3,FALSE)*$O85,0),2),"-")</f>
        <v>0</v>
      </c>
    </row>
    <row r="86" spans="1:16" ht="15.75" x14ac:dyDescent="0.25">
      <c r="A86" s="247">
        <v>74</v>
      </c>
      <c r="B86" s="349">
        <f>'Состав ВТК'!$B82</f>
        <v>0</v>
      </c>
      <c r="C86" s="349" t="str">
        <f>IFERROR(VLOOKUP($B86,'Состав ВТК'!$B$9:$J$109,3,FALSE),"-")</f>
        <v>-</v>
      </c>
      <c r="D86" s="247" t="str">
        <f>IFERROR(VLOOKUP($B86,'Состав ВТК'!$B$9:$J$109,7,FALSE),"-")</f>
        <v>-</v>
      </c>
      <c r="E86" s="247" t="str">
        <f>IFERROR(VLOOKUP($B86,'Состав ВТК'!$B$9:$J$109,8,FALSE),"-")</f>
        <v>-</v>
      </c>
      <c r="F86" s="247" t="str">
        <f>IFERROR(VLOOKUP($B86,'Состав ВТК'!$B$9:$G$109,6,FALSE),"-")</f>
        <v>-</v>
      </c>
      <c r="G86" s="247" t="str">
        <f>IFERROR(VLOOKUP($B86,'Состав ВТК'!$B$9:$J$109,9,FALSE),"-")</f>
        <v>-</v>
      </c>
      <c r="H86" s="350" t="str">
        <f>IFERROR(VLOOKUP($C86,Расценка!$N$3:$O$543,2,FALSE),"-")</f>
        <v>-</v>
      </c>
      <c r="I86" s="351">
        <f>IFERROR(SUMIFS('Трудозатраты членов ВТК'!$G$17:$G$117,'Трудозатраты членов ВТК'!$D$17:$D$117,B:B),"-")</f>
        <v>0</v>
      </c>
      <c r="J86" s="351">
        <f>IFERROR(SUMIFS('Трудозатраты членов ВТК'!$F$464:$F$713,'Трудозатраты членов ВТК'!$D$464:$D$713,B:B),"-")</f>
        <v>0</v>
      </c>
      <c r="K86" s="351" t="str">
        <f>IFERROR(ROUND($J86*VLOOKUP($H86,Расценка!$C$3:$E$12,3,FALSE),2),"-")</f>
        <v>-</v>
      </c>
      <c r="L86" s="638"/>
      <c r="M86" s="351">
        <f>IFERROR(SUMIFS('Трудозатраты членов ВТК'!$G$17:$G$117,'Трудозатраты членов ВТК'!$D$17:$D$117,B:B),"-")</f>
        <v>0</v>
      </c>
      <c r="N86" s="351">
        <f>IFERROR(SUMIFS('Трудозатраты членов ВТК'!$F$464:$F$713,'Трудозатраты членов ВТК'!$D$464:$D$713,B:B),"-")</f>
        <v>0</v>
      </c>
      <c r="O86" s="639"/>
      <c r="P86" s="351">
        <f>IFERROR(ROUND(IF('Состав ВТК'!$K82=справочник!$A$5,$N86*VLOOKUP($L86,Расценка!$C$3:$E$12,3,FALSE)*$O86,0),2),"-")</f>
        <v>0</v>
      </c>
    </row>
    <row r="87" spans="1:16" ht="15.75" x14ac:dyDescent="0.25">
      <c r="A87" s="247">
        <v>75</v>
      </c>
      <c r="B87" s="349">
        <f>'Состав ВТК'!$B83</f>
        <v>0</v>
      </c>
      <c r="C87" s="349" t="str">
        <f>IFERROR(VLOOKUP($B87,'Состав ВТК'!$B$9:$J$109,3,FALSE),"-")</f>
        <v>-</v>
      </c>
      <c r="D87" s="247" t="str">
        <f>IFERROR(VLOOKUP($B87,'Состав ВТК'!$B$9:$J$109,7,FALSE),"-")</f>
        <v>-</v>
      </c>
      <c r="E87" s="247" t="str">
        <f>IFERROR(VLOOKUP($B87,'Состав ВТК'!$B$9:$J$109,8,FALSE),"-")</f>
        <v>-</v>
      </c>
      <c r="F87" s="247" t="str">
        <f>IFERROR(VLOOKUP($B87,'Состав ВТК'!$B$9:$G$109,6,FALSE),"-")</f>
        <v>-</v>
      </c>
      <c r="G87" s="247" t="str">
        <f>IFERROR(VLOOKUP($B87,'Состав ВТК'!$B$9:$J$109,9,FALSE),"-")</f>
        <v>-</v>
      </c>
      <c r="H87" s="350" t="str">
        <f>IFERROR(VLOOKUP($C87,Расценка!$N$3:$O$543,2,FALSE),"-")</f>
        <v>-</v>
      </c>
      <c r="I87" s="351">
        <f>IFERROR(SUMIFS('Трудозатраты членов ВТК'!$G$17:$G$117,'Трудозатраты членов ВТК'!$D$17:$D$117,B:B),"-")</f>
        <v>0</v>
      </c>
      <c r="J87" s="351">
        <f>IFERROR(SUMIFS('Трудозатраты членов ВТК'!$F$464:$F$713,'Трудозатраты членов ВТК'!$D$464:$D$713,B:B),"-")</f>
        <v>0</v>
      </c>
      <c r="K87" s="351" t="str">
        <f>IFERROR(ROUND($J87*VLOOKUP($H87,Расценка!$C$3:$E$12,3,FALSE),2),"-")</f>
        <v>-</v>
      </c>
      <c r="L87" s="638"/>
      <c r="M87" s="351">
        <f>IFERROR(SUMIFS('Трудозатраты членов ВТК'!$G$17:$G$117,'Трудозатраты членов ВТК'!$D$17:$D$117,B:B),"-")</f>
        <v>0</v>
      </c>
      <c r="N87" s="351">
        <f>IFERROR(SUMIFS('Трудозатраты членов ВТК'!$F$464:$F$713,'Трудозатраты членов ВТК'!$D$464:$D$713,B:B),"-")</f>
        <v>0</v>
      </c>
      <c r="O87" s="639"/>
      <c r="P87" s="351">
        <f>IFERROR(ROUND(IF('Состав ВТК'!$K83=справочник!$A$5,$N87*VLOOKUP($L87,Расценка!$C$3:$E$12,3,FALSE)*$O87,0),2),"-")</f>
        <v>0</v>
      </c>
    </row>
    <row r="88" spans="1:16" ht="15.75" x14ac:dyDescent="0.25">
      <c r="A88" s="247">
        <v>76</v>
      </c>
      <c r="B88" s="349">
        <f>'Состав ВТК'!$B84</f>
        <v>0</v>
      </c>
      <c r="C88" s="349" t="str">
        <f>IFERROR(VLOOKUP($B88,'Состав ВТК'!$B$9:$J$109,3,FALSE),"-")</f>
        <v>-</v>
      </c>
      <c r="D88" s="247" t="str">
        <f>IFERROR(VLOOKUP($B88,'Состав ВТК'!$B$9:$J$109,7,FALSE),"-")</f>
        <v>-</v>
      </c>
      <c r="E88" s="247" t="str">
        <f>IFERROR(VLOOKUP($B88,'Состав ВТК'!$B$9:$J$109,8,FALSE),"-")</f>
        <v>-</v>
      </c>
      <c r="F88" s="247" t="str">
        <f>IFERROR(VLOOKUP($B88,'Состав ВТК'!$B$9:$G$109,6,FALSE),"-")</f>
        <v>-</v>
      </c>
      <c r="G88" s="247" t="str">
        <f>IFERROR(VLOOKUP($B88,'Состав ВТК'!$B$9:$J$109,9,FALSE),"-")</f>
        <v>-</v>
      </c>
      <c r="H88" s="350" t="str">
        <f>IFERROR(VLOOKUP($C88,Расценка!$N$3:$O$543,2,FALSE),"-")</f>
        <v>-</v>
      </c>
      <c r="I88" s="351">
        <f>IFERROR(SUMIFS('Трудозатраты членов ВТК'!$G$17:$G$117,'Трудозатраты членов ВТК'!$D$17:$D$117,B:B),"-")</f>
        <v>0</v>
      </c>
      <c r="J88" s="351">
        <f>IFERROR(SUMIFS('Трудозатраты членов ВТК'!$F$464:$F$713,'Трудозатраты членов ВТК'!$D$464:$D$713,B:B),"-")</f>
        <v>0</v>
      </c>
      <c r="K88" s="351" t="str">
        <f>IFERROR(ROUND($J88*VLOOKUP($H88,Расценка!$C$3:$E$12,3,FALSE),2),"-")</f>
        <v>-</v>
      </c>
      <c r="L88" s="638"/>
      <c r="M88" s="351">
        <f>IFERROR(SUMIFS('Трудозатраты членов ВТК'!$G$17:$G$117,'Трудозатраты членов ВТК'!$D$17:$D$117,B:B),"-")</f>
        <v>0</v>
      </c>
      <c r="N88" s="351">
        <f>IFERROR(SUMIFS('Трудозатраты членов ВТК'!$F$464:$F$713,'Трудозатраты членов ВТК'!$D$464:$D$713,B:B),"-")</f>
        <v>0</v>
      </c>
      <c r="O88" s="639"/>
      <c r="P88" s="351">
        <f>IFERROR(ROUND(IF('Состав ВТК'!$K84=справочник!$A$5,$N88*VLOOKUP($L88,Расценка!$C$3:$E$12,3,FALSE)*$O88,0),2),"-")</f>
        <v>0</v>
      </c>
    </row>
    <row r="89" spans="1:16" ht="15.75" x14ac:dyDescent="0.25">
      <c r="A89" s="247">
        <v>77</v>
      </c>
      <c r="B89" s="349">
        <f>'Состав ВТК'!$B85</f>
        <v>0</v>
      </c>
      <c r="C89" s="349" t="str">
        <f>IFERROR(VLOOKUP($B89,'Состав ВТК'!$B$9:$J$109,3,FALSE),"-")</f>
        <v>-</v>
      </c>
      <c r="D89" s="247" t="str">
        <f>IFERROR(VLOOKUP($B89,'Состав ВТК'!$B$9:$J$109,7,FALSE),"-")</f>
        <v>-</v>
      </c>
      <c r="E89" s="247" t="str">
        <f>IFERROR(VLOOKUP($B89,'Состав ВТК'!$B$9:$J$109,8,FALSE),"-")</f>
        <v>-</v>
      </c>
      <c r="F89" s="247" t="str">
        <f>IFERROR(VLOOKUP($B89,'Состав ВТК'!$B$9:$G$109,6,FALSE),"-")</f>
        <v>-</v>
      </c>
      <c r="G89" s="247" t="str">
        <f>IFERROR(VLOOKUP($B89,'Состав ВТК'!$B$9:$J$109,9,FALSE),"-")</f>
        <v>-</v>
      </c>
      <c r="H89" s="350" t="str">
        <f>IFERROR(VLOOKUP($C89,Расценка!$N$3:$O$543,2,FALSE),"-")</f>
        <v>-</v>
      </c>
      <c r="I89" s="351">
        <f>IFERROR(SUMIFS('Трудозатраты членов ВТК'!$G$17:$G$117,'Трудозатраты членов ВТК'!$D$17:$D$117,B:B),"-")</f>
        <v>0</v>
      </c>
      <c r="J89" s="351">
        <f>IFERROR(SUMIFS('Трудозатраты членов ВТК'!$F$464:$F$713,'Трудозатраты членов ВТК'!$D$464:$D$713,B:B),"-")</f>
        <v>0</v>
      </c>
      <c r="K89" s="351" t="str">
        <f>IFERROR(ROUND($J89*VLOOKUP($H89,Расценка!$C$3:$E$12,3,FALSE),2),"-")</f>
        <v>-</v>
      </c>
      <c r="L89" s="638"/>
      <c r="M89" s="351">
        <f>IFERROR(SUMIFS('Трудозатраты членов ВТК'!$G$17:$G$117,'Трудозатраты членов ВТК'!$D$17:$D$117,B:B),"-")</f>
        <v>0</v>
      </c>
      <c r="N89" s="351">
        <f>IFERROR(SUMIFS('Трудозатраты членов ВТК'!$F$464:$F$713,'Трудозатраты членов ВТК'!$D$464:$D$713,B:B),"-")</f>
        <v>0</v>
      </c>
      <c r="O89" s="639"/>
      <c r="P89" s="351">
        <f>IFERROR(ROUND(IF('Состав ВТК'!$K85=справочник!$A$5,$N89*VLOOKUP($L89,Расценка!$C$3:$E$12,3,FALSE)*$O89,0),2),"-")</f>
        <v>0</v>
      </c>
    </row>
    <row r="90" spans="1:16" ht="15.75" x14ac:dyDescent="0.25">
      <c r="A90" s="247">
        <v>78</v>
      </c>
      <c r="B90" s="349">
        <f>'Состав ВТК'!$B86</f>
        <v>0</v>
      </c>
      <c r="C90" s="349" t="str">
        <f>IFERROR(VLOOKUP($B90,'Состав ВТК'!$B$9:$J$109,3,FALSE),"-")</f>
        <v>-</v>
      </c>
      <c r="D90" s="247" t="str">
        <f>IFERROR(VLOOKUP($B90,'Состав ВТК'!$B$9:$J$109,7,FALSE),"-")</f>
        <v>-</v>
      </c>
      <c r="E90" s="247" t="str">
        <f>IFERROR(VLOOKUP($B90,'Состав ВТК'!$B$9:$J$109,8,FALSE),"-")</f>
        <v>-</v>
      </c>
      <c r="F90" s="247" t="str">
        <f>IFERROR(VLOOKUP($B90,'Состав ВТК'!$B$9:$G$109,6,FALSE),"-")</f>
        <v>-</v>
      </c>
      <c r="G90" s="247" t="str">
        <f>IFERROR(VLOOKUP($B90,'Состав ВТК'!$B$9:$J$109,9,FALSE),"-")</f>
        <v>-</v>
      </c>
      <c r="H90" s="350" t="str">
        <f>IFERROR(VLOOKUP($C90,Расценка!$N$3:$O$543,2,FALSE),"-")</f>
        <v>-</v>
      </c>
      <c r="I90" s="351">
        <f>IFERROR(SUMIFS('Трудозатраты членов ВТК'!$G$17:$G$117,'Трудозатраты членов ВТК'!$D$17:$D$117,B:B),"-")</f>
        <v>0</v>
      </c>
      <c r="J90" s="351">
        <f>IFERROR(SUMIFS('Трудозатраты членов ВТК'!$F$464:$F$713,'Трудозатраты членов ВТК'!$D$464:$D$713,B:B),"-")</f>
        <v>0</v>
      </c>
      <c r="K90" s="351" t="str">
        <f>IFERROR(ROUND($J90*VLOOKUP($H90,Расценка!$C$3:$E$12,3,FALSE),2),"-")</f>
        <v>-</v>
      </c>
      <c r="L90" s="638"/>
      <c r="M90" s="351">
        <f>IFERROR(SUMIFS('Трудозатраты членов ВТК'!$G$17:$G$117,'Трудозатраты членов ВТК'!$D$17:$D$117,B:B),"-")</f>
        <v>0</v>
      </c>
      <c r="N90" s="351">
        <f>IFERROR(SUMIFS('Трудозатраты членов ВТК'!$F$464:$F$713,'Трудозатраты членов ВТК'!$D$464:$D$713,B:B),"-")</f>
        <v>0</v>
      </c>
      <c r="O90" s="639"/>
      <c r="P90" s="351">
        <f>IFERROR(ROUND(IF('Состав ВТК'!$K86=справочник!$A$5,$N90*VLOOKUP($L90,Расценка!$C$3:$E$12,3,FALSE)*$O90,0),2),"-")</f>
        <v>0</v>
      </c>
    </row>
    <row r="91" spans="1:16" ht="15.75" x14ac:dyDescent="0.25">
      <c r="A91" s="247">
        <v>79</v>
      </c>
      <c r="B91" s="349">
        <f>'Состав ВТК'!$B87</f>
        <v>0</v>
      </c>
      <c r="C91" s="349" t="str">
        <f>IFERROR(VLOOKUP($B91,'Состав ВТК'!$B$9:$J$109,3,FALSE),"-")</f>
        <v>-</v>
      </c>
      <c r="D91" s="247" t="str">
        <f>IFERROR(VLOOKUP($B91,'Состав ВТК'!$B$9:$J$109,7,FALSE),"-")</f>
        <v>-</v>
      </c>
      <c r="E91" s="247" t="str">
        <f>IFERROR(VLOOKUP($B91,'Состав ВТК'!$B$9:$J$109,8,FALSE),"-")</f>
        <v>-</v>
      </c>
      <c r="F91" s="247" t="str">
        <f>IFERROR(VLOOKUP($B91,'Состав ВТК'!$B$9:$G$109,6,FALSE),"-")</f>
        <v>-</v>
      </c>
      <c r="G91" s="247" t="str">
        <f>IFERROR(VLOOKUP($B91,'Состав ВТК'!$B$9:$J$109,9,FALSE),"-")</f>
        <v>-</v>
      </c>
      <c r="H91" s="350" t="str">
        <f>IFERROR(VLOOKUP($C91,Расценка!$N$3:$O$543,2,FALSE),"-")</f>
        <v>-</v>
      </c>
      <c r="I91" s="351">
        <f>IFERROR(SUMIFS('Трудозатраты членов ВТК'!$G$17:$G$117,'Трудозатраты членов ВТК'!$D$17:$D$117,B:B),"-")</f>
        <v>0</v>
      </c>
      <c r="J91" s="351">
        <f>IFERROR(SUMIFS('Трудозатраты членов ВТК'!$F$464:$F$713,'Трудозатраты членов ВТК'!$D$464:$D$713,B:B),"-")</f>
        <v>0</v>
      </c>
      <c r="K91" s="351" t="str">
        <f>IFERROR(ROUND($J91*VLOOKUP($H91,Расценка!$C$3:$E$12,3,FALSE),2),"-")</f>
        <v>-</v>
      </c>
      <c r="L91" s="638"/>
      <c r="M91" s="351">
        <f>IFERROR(SUMIFS('Трудозатраты членов ВТК'!$G$17:$G$117,'Трудозатраты членов ВТК'!$D$17:$D$117,B:B),"-")</f>
        <v>0</v>
      </c>
      <c r="N91" s="351">
        <f>IFERROR(SUMIFS('Трудозатраты членов ВТК'!$F$464:$F$713,'Трудозатраты членов ВТК'!$D$464:$D$713,B:B),"-")</f>
        <v>0</v>
      </c>
      <c r="O91" s="639"/>
      <c r="P91" s="351">
        <f>IFERROR(ROUND(IF('Состав ВТК'!$K87=справочник!$A$5,$N91*VLOOKUP($L91,Расценка!$C$3:$E$12,3,FALSE)*$O91,0),2),"-")</f>
        <v>0</v>
      </c>
    </row>
    <row r="92" spans="1:16" ht="15.75" x14ac:dyDescent="0.25">
      <c r="A92" s="247">
        <v>80</v>
      </c>
      <c r="B92" s="349">
        <f>'Состав ВТК'!$B88</f>
        <v>0</v>
      </c>
      <c r="C92" s="349" t="str">
        <f>IFERROR(VLOOKUP($B92,'Состав ВТК'!$B$9:$J$109,3,FALSE),"-")</f>
        <v>-</v>
      </c>
      <c r="D92" s="247" t="str">
        <f>IFERROR(VLOOKUP($B92,'Состав ВТК'!$B$9:$J$109,7,FALSE),"-")</f>
        <v>-</v>
      </c>
      <c r="E92" s="247" t="str">
        <f>IFERROR(VLOOKUP($B92,'Состав ВТК'!$B$9:$J$109,8,FALSE),"-")</f>
        <v>-</v>
      </c>
      <c r="F92" s="247" t="str">
        <f>IFERROR(VLOOKUP($B92,'Состав ВТК'!$B$9:$G$109,6,FALSE),"-")</f>
        <v>-</v>
      </c>
      <c r="G92" s="247" t="str">
        <f>IFERROR(VLOOKUP($B92,'Состав ВТК'!$B$9:$J$109,9,FALSE),"-")</f>
        <v>-</v>
      </c>
      <c r="H92" s="350" t="str">
        <f>IFERROR(VLOOKUP($C92,Расценка!$N$3:$O$543,2,FALSE),"-")</f>
        <v>-</v>
      </c>
      <c r="I92" s="351">
        <f>IFERROR(SUMIFS('Трудозатраты членов ВТК'!$G$17:$G$117,'Трудозатраты членов ВТК'!$D$17:$D$117,B:B),"-")</f>
        <v>0</v>
      </c>
      <c r="J92" s="351">
        <f>IFERROR(SUMIFS('Трудозатраты членов ВТК'!$F$464:$F$713,'Трудозатраты членов ВТК'!$D$464:$D$713,B:B),"-")</f>
        <v>0</v>
      </c>
      <c r="K92" s="351" t="str">
        <f>IFERROR(ROUND($J92*VLOOKUP($H92,Расценка!$C$3:$E$12,3,FALSE),2),"-")</f>
        <v>-</v>
      </c>
      <c r="L92" s="638"/>
      <c r="M92" s="351">
        <f>IFERROR(SUMIFS('Трудозатраты членов ВТК'!$G$17:$G$117,'Трудозатраты членов ВТК'!$D$17:$D$117,B:B),"-")</f>
        <v>0</v>
      </c>
      <c r="N92" s="351">
        <f>IFERROR(SUMIFS('Трудозатраты членов ВТК'!$F$464:$F$713,'Трудозатраты членов ВТК'!$D$464:$D$713,B:B),"-")</f>
        <v>0</v>
      </c>
      <c r="O92" s="639"/>
      <c r="P92" s="351">
        <f>IFERROR(ROUND(IF('Состав ВТК'!$K88=справочник!$A$5,$N92*VLOOKUP($L92,Расценка!$C$3:$E$12,3,FALSE)*$O92,0),2),"-")</f>
        <v>0</v>
      </c>
    </row>
    <row r="93" spans="1:16" ht="15.75" x14ac:dyDescent="0.25">
      <c r="A93" s="247">
        <v>81</v>
      </c>
      <c r="B93" s="349">
        <f>'Состав ВТК'!$B89</f>
        <v>0</v>
      </c>
      <c r="C93" s="349" t="str">
        <f>IFERROR(VLOOKUP($B93,'Состав ВТК'!$B$9:$J$109,3,FALSE),"-")</f>
        <v>-</v>
      </c>
      <c r="D93" s="247" t="str">
        <f>IFERROR(VLOOKUP($B93,'Состав ВТК'!$B$9:$J$109,7,FALSE),"-")</f>
        <v>-</v>
      </c>
      <c r="E93" s="247" t="str">
        <f>IFERROR(VLOOKUP($B93,'Состав ВТК'!$B$9:$J$109,8,FALSE),"-")</f>
        <v>-</v>
      </c>
      <c r="F93" s="247" t="str">
        <f>IFERROR(VLOOKUP($B93,'Состав ВТК'!$B$9:$G$109,6,FALSE),"-")</f>
        <v>-</v>
      </c>
      <c r="G93" s="247" t="str">
        <f>IFERROR(VLOOKUP($B93,'Состав ВТК'!$B$9:$J$109,9,FALSE),"-")</f>
        <v>-</v>
      </c>
      <c r="H93" s="350" t="str">
        <f>IFERROR(VLOOKUP($C93,Расценка!$N$3:$O$543,2,FALSE),"-")</f>
        <v>-</v>
      </c>
      <c r="I93" s="351">
        <f>IFERROR(SUMIFS('Трудозатраты членов ВТК'!$G$17:$G$117,'Трудозатраты членов ВТК'!$D$17:$D$117,B:B),"-")</f>
        <v>0</v>
      </c>
      <c r="J93" s="351">
        <f>IFERROR(SUMIFS('Трудозатраты членов ВТК'!$F$464:$F$713,'Трудозатраты членов ВТК'!$D$464:$D$713,B:B),"-")</f>
        <v>0</v>
      </c>
      <c r="K93" s="351" t="str">
        <f>IFERROR(ROUND($J93*VLOOKUP($H93,Расценка!$C$3:$E$12,3,FALSE),2),"-")</f>
        <v>-</v>
      </c>
      <c r="L93" s="638"/>
      <c r="M93" s="351">
        <f>IFERROR(SUMIFS('Трудозатраты членов ВТК'!$G$17:$G$117,'Трудозатраты членов ВТК'!$D$17:$D$117,B:B),"-")</f>
        <v>0</v>
      </c>
      <c r="N93" s="351">
        <f>IFERROR(SUMIFS('Трудозатраты членов ВТК'!$F$464:$F$713,'Трудозатраты членов ВТК'!$D$464:$D$713,B:B),"-")</f>
        <v>0</v>
      </c>
      <c r="O93" s="639"/>
      <c r="P93" s="351">
        <f>IFERROR(ROUND(IF('Состав ВТК'!$K89=справочник!$A$5,$N93*VLOOKUP($L93,Расценка!$C$3:$E$12,3,FALSE)*$O93,0),2),"-")</f>
        <v>0</v>
      </c>
    </row>
    <row r="94" spans="1:16" ht="15.75" x14ac:dyDescent="0.25">
      <c r="A94" s="247">
        <v>82</v>
      </c>
      <c r="B94" s="349">
        <f>'Состав ВТК'!$B90</f>
        <v>0</v>
      </c>
      <c r="C94" s="349" t="str">
        <f>IFERROR(VLOOKUP($B94,'Состав ВТК'!$B$9:$J$109,3,FALSE),"-")</f>
        <v>-</v>
      </c>
      <c r="D94" s="247" t="str">
        <f>IFERROR(VLOOKUP($B94,'Состав ВТК'!$B$9:$J$109,7,FALSE),"-")</f>
        <v>-</v>
      </c>
      <c r="E94" s="247" t="str">
        <f>IFERROR(VLOOKUP($B94,'Состав ВТК'!$B$9:$J$109,8,FALSE),"-")</f>
        <v>-</v>
      </c>
      <c r="F94" s="247" t="str">
        <f>IFERROR(VLOOKUP($B94,'Состав ВТК'!$B$9:$G$109,6,FALSE),"-")</f>
        <v>-</v>
      </c>
      <c r="G94" s="247" t="str">
        <f>IFERROR(VLOOKUP($B94,'Состав ВТК'!$B$9:$J$109,9,FALSE),"-")</f>
        <v>-</v>
      </c>
      <c r="H94" s="350" t="str">
        <f>IFERROR(VLOOKUP($C94,Расценка!$N$3:$O$543,2,FALSE),"-")</f>
        <v>-</v>
      </c>
      <c r="I94" s="351">
        <f>IFERROR(SUMIFS('Трудозатраты членов ВТК'!$G$17:$G$117,'Трудозатраты членов ВТК'!$D$17:$D$117,B:B),"-")</f>
        <v>0</v>
      </c>
      <c r="J94" s="351">
        <f>IFERROR(SUMIFS('Трудозатраты членов ВТК'!$F$464:$F$713,'Трудозатраты членов ВТК'!$D$464:$D$713,B:B),"-")</f>
        <v>0</v>
      </c>
      <c r="K94" s="351" t="str">
        <f>IFERROR(ROUND($J94*VLOOKUP($H94,Расценка!$C$3:$E$12,3,FALSE),2),"-")</f>
        <v>-</v>
      </c>
      <c r="L94" s="638"/>
      <c r="M94" s="351">
        <f>IFERROR(SUMIFS('Трудозатраты членов ВТК'!$G$17:$G$117,'Трудозатраты членов ВТК'!$D$17:$D$117,B:B),"-")</f>
        <v>0</v>
      </c>
      <c r="N94" s="351">
        <f>IFERROR(SUMIFS('Трудозатраты членов ВТК'!$F$464:$F$713,'Трудозатраты членов ВТК'!$D$464:$D$713,B:B),"-")</f>
        <v>0</v>
      </c>
      <c r="O94" s="639"/>
      <c r="P94" s="351">
        <f>IFERROR(ROUND(IF('Состав ВТК'!$K90=справочник!$A$5,$N94*VLOOKUP($L94,Расценка!$C$3:$E$12,3,FALSE)*$O94,0),2),"-")</f>
        <v>0</v>
      </c>
    </row>
    <row r="95" spans="1:16" ht="15.75" x14ac:dyDescent="0.25">
      <c r="A95" s="247">
        <v>83</v>
      </c>
      <c r="B95" s="349">
        <f>'Состав ВТК'!$B91</f>
        <v>0</v>
      </c>
      <c r="C95" s="349" t="str">
        <f>IFERROR(VLOOKUP($B95,'Состав ВТК'!$B$9:$J$109,3,FALSE),"-")</f>
        <v>-</v>
      </c>
      <c r="D95" s="247" t="str">
        <f>IFERROR(VLOOKUP($B95,'Состав ВТК'!$B$9:$J$109,7,FALSE),"-")</f>
        <v>-</v>
      </c>
      <c r="E95" s="247" t="str">
        <f>IFERROR(VLOOKUP($B95,'Состав ВТК'!$B$9:$J$109,8,FALSE),"-")</f>
        <v>-</v>
      </c>
      <c r="F95" s="247" t="str">
        <f>IFERROR(VLOOKUP($B95,'Состав ВТК'!$B$9:$G$109,6,FALSE),"-")</f>
        <v>-</v>
      </c>
      <c r="G95" s="247" t="str">
        <f>IFERROR(VLOOKUP($B95,'Состав ВТК'!$B$9:$J$109,9,FALSE),"-")</f>
        <v>-</v>
      </c>
      <c r="H95" s="350" t="str">
        <f>IFERROR(VLOOKUP($C95,Расценка!$N$3:$O$543,2,FALSE),"-")</f>
        <v>-</v>
      </c>
      <c r="I95" s="351">
        <f>IFERROR(SUMIFS('Трудозатраты членов ВТК'!$G$17:$G$117,'Трудозатраты членов ВТК'!$D$17:$D$117,B:B),"-")</f>
        <v>0</v>
      </c>
      <c r="J95" s="351">
        <f>IFERROR(SUMIFS('Трудозатраты членов ВТК'!$F$464:$F$713,'Трудозатраты членов ВТК'!$D$464:$D$713,B:B),"-")</f>
        <v>0</v>
      </c>
      <c r="K95" s="351" t="str">
        <f>IFERROR(ROUND($J95*VLOOKUP($H95,Расценка!$C$3:$E$12,3,FALSE),2),"-")</f>
        <v>-</v>
      </c>
      <c r="L95" s="638"/>
      <c r="M95" s="351">
        <f>IFERROR(SUMIFS('Трудозатраты членов ВТК'!$G$17:$G$117,'Трудозатраты членов ВТК'!$D$17:$D$117,B:B),"-")</f>
        <v>0</v>
      </c>
      <c r="N95" s="351">
        <f>IFERROR(SUMIFS('Трудозатраты членов ВТК'!$F$464:$F$713,'Трудозатраты членов ВТК'!$D$464:$D$713,B:B),"-")</f>
        <v>0</v>
      </c>
      <c r="O95" s="639"/>
      <c r="P95" s="351">
        <f>IFERROR(ROUND(IF('Состав ВТК'!$K91=справочник!$A$5,$N95*VLOOKUP($L95,Расценка!$C$3:$E$12,3,FALSE)*$O95,0),2),"-")</f>
        <v>0</v>
      </c>
    </row>
    <row r="96" spans="1:16" ht="15.75" x14ac:dyDescent="0.25">
      <c r="A96" s="247">
        <v>84</v>
      </c>
      <c r="B96" s="349">
        <f>'Состав ВТК'!$B92</f>
        <v>0</v>
      </c>
      <c r="C96" s="349" t="str">
        <f>IFERROR(VLOOKUP($B96,'Состав ВТК'!$B$9:$J$109,3,FALSE),"-")</f>
        <v>-</v>
      </c>
      <c r="D96" s="247" t="str">
        <f>IFERROR(VLOOKUP($B96,'Состав ВТК'!$B$9:$J$109,7,FALSE),"-")</f>
        <v>-</v>
      </c>
      <c r="E96" s="247" t="str">
        <f>IFERROR(VLOOKUP($B96,'Состав ВТК'!$B$9:$J$109,8,FALSE),"-")</f>
        <v>-</v>
      </c>
      <c r="F96" s="247" t="str">
        <f>IFERROR(VLOOKUP($B96,'Состав ВТК'!$B$9:$G$109,6,FALSE),"-")</f>
        <v>-</v>
      </c>
      <c r="G96" s="247" t="str">
        <f>IFERROR(VLOOKUP($B96,'Состав ВТК'!$B$9:$J$109,9,FALSE),"-")</f>
        <v>-</v>
      </c>
      <c r="H96" s="350" t="str">
        <f>IFERROR(VLOOKUP($C96,Расценка!$N$3:$O$543,2,FALSE),"-")</f>
        <v>-</v>
      </c>
      <c r="I96" s="351">
        <f>IFERROR(SUMIFS('Трудозатраты членов ВТК'!$G$17:$G$117,'Трудозатраты членов ВТК'!$D$17:$D$117,B:B),"-")</f>
        <v>0</v>
      </c>
      <c r="J96" s="351">
        <f>IFERROR(SUMIFS('Трудозатраты членов ВТК'!$F$464:$F$713,'Трудозатраты членов ВТК'!$D$464:$D$713,B:B),"-")</f>
        <v>0</v>
      </c>
      <c r="K96" s="351" t="str">
        <f>IFERROR(ROUND($J96*VLOOKUP($H96,Расценка!$C$3:$E$12,3,FALSE),2),"-")</f>
        <v>-</v>
      </c>
      <c r="L96" s="638"/>
      <c r="M96" s="351">
        <f>IFERROR(SUMIFS('Трудозатраты членов ВТК'!$G$17:$G$117,'Трудозатраты членов ВТК'!$D$17:$D$117,B:B),"-")</f>
        <v>0</v>
      </c>
      <c r="N96" s="351">
        <f>IFERROR(SUMIFS('Трудозатраты членов ВТК'!$F$464:$F$713,'Трудозатраты членов ВТК'!$D$464:$D$713,B:B),"-")</f>
        <v>0</v>
      </c>
      <c r="O96" s="639"/>
      <c r="P96" s="351">
        <f>IFERROR(ROUND(IF('Состав ВТК'!$K92=справочник!$A$5,$N96*VLOOKUP($L96,Расценка!$C$3:$E$12,3,FALSE)*$O96,0),2),"-")</f>
        <v>0</v>
      </c>
    </row>
    <row r="97" spans="1:16" ht="15.75" x14ac:dyDescent="0.25">
      <c r="A97" s="247">
        <v>85</v>
      </c>
      <c r="B97" s="349">
        <f>'Состав ВТК'!$B93</f>
        <v>0</v>
      </c>
      <c r="C97" s="349" t="str">
        <f>IFERROR(VLOOKUP($B97,'Состав ВТК'!$B$9:$J$109,3,FALSE),"-")</f>
        <v>-</v>
      </c>
      <c r="D97" s="247" t="str">
        <f>IFERROR(VLOOKUP($B97,'Состав ВТК'!$B$9:$J$109,7,FALSE),"-")</f>
        <v>-</v>
      </c>
      <c r="E97" s="247" t="str">
        <f>IFERROR(VLOOKUP($B97,'Состав ВТК'!$B$9:$J$109,8,FALSE),"-")</f>
        <v>-</v>
      </c>
      <c r="F97" s="247" t="str">
        <f>IFERROR(VLOOKUP($B97,'Состав ВТК'!$B$9:$G$109,6,FALSE),"-")</f>
        <v>-</v>
      </c>
      <c r="G97" s="247" t="str">
        <f>IFERROR(VLOOKUP($B97,'Состав ВТК'!$B$9:$J$109,9,FALSE),"-")</f>
        <v>-</v>
      </c>
      <c r="H97" s="350" t="str">
        <f>IFERROR(VLOOKUP($C97,Расценка!$N$3:$O$543,2,FALSE),"-")</f>
        <v>-</v>
      </c>
      <c r="I97" s="351">
        <f>IFERROR(SUMIFS('Трудозатраты членов ВТК'!$G$17:$G$117,'Трудозатраты членов ВТК'!$D$17:$D$117,B:B),"-")</f>
        <v>0</v>
      </c>
      <c r="J97" s="351">
        <f>IFERROR(SUMIFS('Трудозатраты членов ВТК'!$F$464:$F$713,'Трудозатраты членов ВТК'!$D$464:$D$713,B:B),"-")</f>
        <v>0</v>
      </c>
      <c r="K97" s="351" t="str">
        <f>IFERROR(ROUND($J97*VLOOKUP($H97,Расценка!$C$3:$E$12,3,FALSE),2),"-")</f>
        <v>-</v>
      </c>
      <c r="L97" s="638"/>
      <c r="M97" s="351">
        <f>IFERROR(SUMIFS('Трудозатраты членов ВТК'!$G$17:$G$117,'Трудозатраты членов ВТК'!$D$17:$D$117,B:B),"-")</f>
        <v>0</v>
      </c>
      <c r="N97" s="351">
        <f>IFERROR(SUMIFS('Трудозатраты членов ВТК'!$F$464:$F$713,'Трудозатраты членов ВТК'!$D$464:$D$713,B:B),"-")</f>
        <v>0</v>
      </c>
      <c r="O97" s="639"/>
      <c r="P97" s="351">
        <f>IFERROR(ROUND(IF('Состав ВТК'!$K93=справочник!$A$5,$N97*VLOOKUP($L97,Расценка!$C$3:$E$12,3,FALSE)*$O97,0),2),"-")</f>
        <v>0</v>
      </c>
    </row>
    <row r="98" spans="1:16" ht="15.75" x14ac:dyDescent="0.25">
      <c r="A98" s="247">
        <v>86</v>
      </c>
      <c r="B98" s="349">
        <f>'Состав ВТК'!$B94</f>
        <v>0</v>
      </c>
      <c r="C98" s="349" t="str">
        <f>IFERROR(VLOOKUP($B98,'Состав ВТК'!$B$9:$J$109,3,FALSE),"-")</f>
        <v>-</v>
      </c>
      <c r="D98" s="247" t="str">
        <f>IFERROR(VLOOKUP($B98,'Состав ВТК'!$B$9:$J$109,7,FALSE),"-")</f>
        <v>-</v>
      </c>
      <c r="E98" s="247" t="str">
        <f>IFERROR(VLOOKUP($B98,'Состав ВТК'!$B$9:$J$109,8,FALSE),"-")</f>
        <v>-</v>
      </c>
      <c r="F98" s="247" t="str">
        <f>IFERROR(VLOOKUP($B98,'Состав ВТК'!$B$9:$G$109,6,FALSE),"-")</f>
        <v>-</v>
      </c>
      <c r="G98" s="247" t="str">
        <f>IFERROR(VLOOKUP($B98,'Состав ВТК'!$B$9:$J$109,9,FALSE),"-")</f>
        <v>-</v>
      </c>
      <c r="H98" s="350" t="str">
        <f>IFERROR(VLOOKUP($C98,Расценка!$N$3:$O$543,2,FALSE),"-")</f>
        <v>-</v>
      </c>
      <c r="I98" s="351">
        <f>IFERROR(SUMIFS('Трудозатраты членов ВТК'!$G$17:$G$117,'Трудозатраты членов ВТК'!$D$17:$D$117,B:B),"-")</f>
        <v>0</v>
      </c>
      <c r="J98" s="351">
        <f>IFERROR(SUMIFS('Трудозатраты членов ВТК'!$F$464:$F$713,'Трудозатраты членов ВТК'!$D$464:$D$713,B:B),"-")</f>
        <v>0</v>
      </c>
      <c r="K98" s="351" t="str">
        <f>IFERROR(ROUND($J98*VLOOKUP($H98,Расценка!$C$3:$E$12,3,FALSE),2),"-")</f>
        <v>-</v>
      </c>
      <c r="L98" s="638"/>
      <c r="M98" s="351">
        <f>IFERROR(SUMIFS('Трудозатраты членов ВТК'!$G$17:$G$117,'Трудозатраты членов ВТК'!$D$17:$D$117,B:B),"-")</f>
        <v>0</v>
      </c>
      <c r="N98" s="351">
        <f>IFERROR(SUMIFS('Трудозатраты членов ВТК'!$F$464:$F$713,'Трудозатраты членов ВТК'!$D$464:$D$713,B:B),"-")</f>
        <v>0</v>
      </c>
      <c r="O98" s="639"/>
      <c r="P98" s="351">
        <f>IFERROR(ROUND(IF('Состав ВТК'!$K94=справочник!$A$5,$N98*VLOOKUP($L98,Расценка!$C$3:$E$12,3,FALSE)*$O98,0),2),"-")</f>
        <v>0</v>
      </c>
    </row>
    <row r="99" spans="1:16" ht="15.75" x14ac:dyDescent="0.25">
      <c r="A99" s="247">
        <v>87</v>
      </c>
      <c r="B99" s="349">
        <f>'Состав ВТК'!$B95</f>
        <v>0</v>
      </c>
      <c r="C99" s="349" t="str">
        <f>IFERROR(VLOOKUP($B99,'Состав ВТК'!$B$9:$J$109,3,FALSE),"-")</f>
        <v>-</v>
      </c>
      <c r="D99" s="247" t="str">
        <f>IFERROR(VLOOKUP($B99,'Состав ВТК'!$B$9:$J$109,7,FALSE),"-")</f>
        <v>-</v>
      </c>
      <c r="E99" s="247" t="str">
        <f>IFERROR(VLOOKUP($B99,'Состав ВТК'!$B$9:$J$109,8,FALSE),"-")</f>
        <v>-</v>
      </c>
      <c r="F99" s="247" t="str">
        <f>IFERROR(VLOOKUP($B99,'Состав ВТК'!$B$9:$G$109,6,FALSE),"-")</f>
        <v>-</v>
      </c>
      <c r="G99" s="247" t="str">
        <f>IFERROR(VLOOKUP($B99,'Состав ВТК'!$B$9:$J$109,9,FALSE),"-")</f>
        <v>-</v>
      </c>
      <c r="H99" s="350" t="str">
        <f>IFERROR(VLOOKUP($C99,Расценка!$N$3:$O$543,2,FALSE),"-")</f>
        <v>-</v>
      </c>
      <c r="I99" s="351">
        <f>IFERROR(SUMIFS('Трудозатраты членов ВТК'!$G$17:$G$117,'Трудозатраты членов ВТК'!$D$17:$D$117,B:B),"-")</f>
        <v>0</v>
      </c>
      <c r="J99" s="351">
        <f>IFERROR(SUMIFS('Трудозатраты членов ВТК'!$F$464:$F$713,'Трудозатраты членов ВТК'!$D$464:$D$713,B:B),"-")</f>
        <v>0</v>
      </c>
      <c r="K99" s="351" t="str">
        <f>IFERROR(ROUND($J99*VLOOKUP($H99,Расценка!$C$3:$E$12,3,FALSE),2),"-")</f>
        <v>-</v>
      </c>
      <c r="L99" s="638"/>
      <c r="M99" s="351">
        <f>IFERROR(SUMIFS('Трудозатраты членов ВТК'!$G$17:$G$117,'Трудозатраты членов ВТК'!$D$17:$D$117,B:B),"-")</f>
        <v>0</v>
      </c>
      <c r="N99" s="351">
        <f>IFERROR(SUMIFS('Трудозатраты членов ВТК'!$F$464:$F$713,'Трудозатраты членов ВТК'!$D$464:$D$713,B:B),"-")</f>
        <v>0</v>
      </c>
      <c r="O99" s="639"/>
      <c r="P99" s="351">
        <f>IFERROR(ROUND(IF('Состав ВТК'!$K95=справочник!$A$5,$N99*VLOOKUP($L99,Расценка!$C$3:$E$12,3,FALSE)*$O99,0),2),"-")</f>
        <v>0</v>
      </c>
    </row>
    <row r="100" spans="1:16" ht="15.75" x14ac:dyDescent="0.25">
      <c r="A100" s="247">
        <v>88</v>
      </c>
      <c r="B100" s="349">
        <f>'Состав ВТК'!$B96</f>
        <v>0</v>
      </c>
      <c r="C100" s="349" t="str">
        <f>IFERROR(VLOOKUP($B100,'Состав ВТК'!$B$9:$J$109,3,FALSE),"-")</f>
        <v>-</v>
      </c>
      <c r="D100" s="247" t="str">
        <f>IFERROR(VLOOKUP($B100,'Состав ВТК'!$B$9:$J$109,7,FALSE),"-")</f>
        <v>-</v>
      </c>
      <c r="E100" s="247" t="str">
        <f>IFERROR(VLOOKUP($B100,'Состав ВТК'!$B$9:$J$109,8,FALSE),"-")</f>
        <v>-</v>
      </c>
      <c r="F100" s="247" t="str">
        <f>IFERROR(VLOOKUP($B100,'Состав ВТК'!$B$9:$G$109,6,FALSE),"-")</f>
        <v>-</v>
      </c>
      <c r="G100" s="247" t="str">
        <f>IFERROR(VLOOKUP($B100,'Состав ВТК'!$B$9:$J$109,9,FALSE),"-")</f>
        <v>-</v>
      </c>
      <c r="H100" s="350" t="str">
        <f>IFERROR(VLOOKUP($C100,Расценка!$N$3:$O$543,2,FALSE),"-")</f>
        <v>-</v>
      </c>
      <c r="I100" s="351">
        <f>IFERROR(SUMIFS('Трудозатраты членов ВТК'!$G$17:$G$117,'Трудозатраты членов ВТК'!$D$17:$D$117,B:B),"-")</f>
        <v>0</v>
      </c>
      <c r="J100" s="351">
        <f>IFERROR(SUMIFS('Трудозатраты членов ВТК'!$F$464:$F$713,'Трудозатраты членов ВТК'!$D$464:$D$713,B:B),"-")</f>
        <v>0</v>
      </c>
      <c r="K100" s="351" t="str">
        <f>IFERROR(ROUND($J100*VLOOKUP($H100,Расценка!$C$3:$E$12,3,FALSE),2),"-")</f>
        <v>-</v>
      </c>
      <c r="L100" s="638"/>
      <c r="M100" s="351">
        <f>IFERROR(SUMIFS('Трудозатраты членов ВТК'!$G$17:$G$117,'Трудозатраты членов ВТК'!$D$17:$D$117,B:B),"-")</f>
        <v>0</v>
      </c>
      <c r="N100" s="351">
        <f>IFERROR(SUMIFS('Трудозатраты членов ВТК'!$F$464:$F$713,'Трудозатраты членов ВТК'!$D$464:$D$713,B:B),"-")</f>
        <v>0</v>
      </c>
      <c r="O100" s="639"/>
      <c r="P100" s="351">
        <f>IFERROR(ROUND(IF('Состав ВТК'!$K96=справочник!$A$5,$N100*VLOOKUP($L100,Расценка!$C$3:$E$12,3,FALSE)*$O100,0),2),"-")</f>
        <v>0</v>
      </c>
    </row>
    <row r="101" spans="1:16" ht="15.75" x14ac:dyDescent="0.25">
      <c r="A101" s="247">
        <v>89</v>
      </c>
      <c r="B101" s="349">
        <f>'Состав ВТК'!$B97</f>
        <v>0</v>
      </c>
      <c r="C101" s="349" t="str">
        <f>IFERROR(VLOOKUP($B101,'Состав ВТК'!$B$9:$J$109,3,FALSE),"-")</f>
        <v>-</v>
      </c>
      <c r="D101" s="247" t="str">
        <f>IFERROR(VLOOKUP($B101,'Состав ВТК'!$B$9:$J$109,7,FALSE),"-")</f>
        <v>-</v>
      </c>
      <c r="E101" s="247" t="str">
        <f>IFERROR(VLOOKUP($B101,'Состав ВТК'!$B$9:$J$109,8,FALSE),"-")</f>
        <v>-</v>
      </c>
      <c r="F101" s="247" t="str">
        <f>IFERROR(VLOOKUP($B101,'Состав ВТК'!$B$9:$G$109,6,FALSE),"-")</f>
        <v>-</v>
      </c>
      <c r="G101" s="247" t="str">
        <f>IFERROR(VLOOKUP($B101,'Состав ВТК'!$B$9:$J$109,9,FALSE),"-")</f>
        <v>-</v>
      </c>
      <c r="H101" s="350" t="str">
        <f>IFERROR(VLOOKUP($C101,Расценка!$N$3:$O$543,2,FALSE),"-")</f>
        <v>-</v>
      </c>
      <c r="I101" s="351">
        <f>IFERROR(SUMIFS('Трудозатраты членов ВТК'!$G$17:$G$117,'Трудозатраты членов ВТК'!$D$17:$D$117,B:B),"-")</f>
        <v>0</v>
      </c>
      <c r="J101" s="351">
        <f>IFERROR(SUMIFS('Трудозатраты членов ВТК'!$F$464:$F$713,'Трудозатраты членов ВТК'!$D$464:$D$713,B:B),"-")</f>
        <v>0</v>
      </c>
      <c r="K101" s="351" t="str">
        <f>IFERROR(ROUND($J101*VLOOKUP($H101,Расценка!$C$3:$E$12,3,FALSE),2),"-")</f>
        <v>-</v>
      </c>
      <c r="L101" s="638"/>
      <c r="M101" s="351">
        <f>IFERROR(SUMIFS('Трудозатраты членов ВТК'!$G$17:$G$117,'Трудозатраты членов ВТК'!$D$17:$D$117,B:B),"-")</f>
        <v>0</v>
      </c>
      <c r="N101" s="351">
        <f>IFERROR(SUMIFS('Трудозатраты членов ВТК'!$F$464:$F$713,'Трудозатраты членов ВТК'!$D$464:$D$713,B:B),"-")</f>
        <v>0</v>
      </c>
      <c r="O101" s="639"/>
      <c r="P101" s="351">
        <f>IFERROR(ROUND(IF('Состав ВТК'!$K97=справочник!$A$5,$N101*VLOOKUP($L101,Расценка!$C$3:$E$12,3,FALSE)*$O101,0),2),"-")</f>
        <v>0</v>
      </c>
    </row>
    <row r="102" spans="1:16" ht="15.75" x14ac:dyDescent="0.25">
      <c r="A102" s="247">
        <v>90</v>
      </c>
      <c r="B102" s="349">
        <f>'Состав ВТК'!$B98</f>
        <v>0</v>
      </c>
      <c r="C102" s="349" t="str">
        <f>IFERROR(VLOOKUP($B102,'Состав ВТК'!$B$9:$J$109,3,FALSE),"-")</f>
        <v>-</v>
      </c>
      <c r="D102" s="247" t="str">
        <f>IFERROR(VLOOKUP($B102,'Состав ВТК'!$B$9:$J$109,7,FALSE),"-")</f>
        <v>-</v>
      </c>
      <c r="E102" s="247" t="str">
        <f>IFERROR(VLOOKUP($B102,'Состав ВТК'!$B$9:$J$109,8,FALSE),"-")</f>
        <v>-</v>
      </c>
      <c r="F102" s="247" t="str">
        <f>IFERROR(VLOOKUP($B102,'Состав ВТК'!$B$9:$G$109,6,FALSE),"-")</f>
        <v>-</v>
      </c>
      <c r="G102" s="247" t="str">
        <f>IFERROR(VLOOKUP($B102,'Состав ВТК'!$B$9:$J$109,9,FALSE),"-")</f>
        <v>-</v>
      </c>
      <c r="H102" s="350" t="str">
        <f>IFERROR(VLOOKUP($C102,Расценка!$N$3:$O$543,2,FALSE),"-")</f>
        <v>-</v>
      </c>
      <c r="I102" s="351">
        <f>IFERROR(SUMIFS('Трудозатраты членов ВТК'!$G$17:$G$117,'Трудозатраты членов ВТК'!$D$17:$D$117,B:B),"-")</f>
        <v>0</v>
      </c>
      <c r="J102" s="351">
        <f>IFERROR(SUMIFS('Трудозатраты членов ВТК'!$F$464:$F$713,'Трудозатраты членов ВТК'!$D$464:$D$713,B:B),"-")</f>
        <v>0</v>
      </c>
      <c r="K102" s="351" t="str">
        <f>IFERROR(ROUND($J102*VLOOKUP($H102,Расценка!$C$3:$E$12,3,FALSE),2),"-")</f>
        <v>-</v>
      </c>
      <c r="L102" s="638"/>
      <c r="M102" s="351">
        <f>IFERROR(SUMIFS('Трудозатраты членов ВТК'!$G$17:$G$117,'Трудозатраты членов ВТК'!$D$17:$D$117,B:B),"-")</f>
        <v>0</v>
      </c>
      <c r="N102" s="351">
        <f>IFERROR(SUMIFS('Трудозатраты членов ВТК'!$F$464:$F$713,'Трудозатраты членов ВТК'!$D$464:$D$713,B:B),"-")</f>
        <v>0</v>
      </c>
      <c r="O102" s="639"/>
      <c r="P102" s="351">
        <f>IFERROR(ROUND(IF('Состав ВТК'!$K98=справочник!$A$5,$N102*VLOOKUP($L102,Расценка!$C$3:$E$12,3,FALSE)*$O102,0),2),"-")</f>
        <v>0</v>
      </c>
    </row>
    <row r="103" spans="1:16" ht="15.75" x14ac:dyDescent="0.25">
      <c r="A103" s="247">
        <v>91</v>
      </c>
      <c r="B103" s="349">
        <f>'Состав ВТК'!$B99</f>
        <v>0</v>
      </c>
      <c r="C103" s="349" t="str">
        <f>IFERROR(VLOOKUP($B103,'Состав ВТК'!$B$9:$J$109,3,FALSE),"-")</f>
        <v>-</v>
      </c>
      <c r="D103" s="247" t="str">
        <f>IFERROR(VLOOKUP($B103,'Состав ВТК'!$B$9:$J$109,7,FALSE),"-")</f>
        <v>-</v>
      </c>
      <c r="E103" s="247" t="str">
        <f>IFERROR(VLOOKUP($B103,'Состав ВТК'!$B$9:$J$109,8,FALSE),"-")</f>
        <v>-</v>
      </c>
      <c r="F103" s="247" t="str">
        <f>IFERROR(VLOOKUP($B103,'Состав ВТК'!$B$9:$G$109,6,FALSE),"-")</f>
        <v>-</v>
      </c>
      <c r="G103" s="247" t="str">
        <f>IFERROR(VLOOKUP($B103,'Состав ВТК'!$B$9:$J$109,9,FALSE),"-")</f>
        <v>-</v>
      </c>
      <c r="H103" s="350" t="str">
        <f>IFERROR(VLOOKUP($C103,Расценка!$N$3:$O$543,2,FALSE),"-")</f>
        <v>-</v>
      </c>
      <c r="I103" s="351">
        <f>IFERROR(SUMIFS('Трудозатраты членов ВТК'!$G$17:$G$117,'Трудозатраты членов ВТК'!$D$17:$D$117,B:B),"-")</f>
        <v>0</v>
      </c>
      <c r="J103" s="351">
        <f>IFERROR(SUMIFS('Трудозатраты членов ВТК'!$F$464:$F$713,'Трудозатраты членов ВТК'!$D$464:$D$713,B:B),"-")</f>
        <v>0</v>
      </c>
      <c r="K103" s="351" t="str">
        <f>IFERROR(ROUND($J103*VLOOKUP($H103,Расценка!$C$3:$E$12,3,FALSE),2),"-")</f>
        <v>-</v>
      </c>
      <c r="L103" s="638"/>
      <c r="M103" s="351">
        <f>IFERROR(SUMIFS('Трудозатраты членов ВТК'!$G$17:$G$117,'Трудозатраты членов ВТК'!$D$17:$D$117,B:B),"-")</f>
        <v>0</v>
      </c>
      <c r="N103" s="351">
        <f>IFERROR(SUMIFS('Трудозатраты членов ВТК'!$F$464:$F$713,'Трудозатраты членов ВТК'!$D$464:$D$713,B:B),"-")</f>
        <v>0</v>
      </c>
      <c r="O103" s="639"/>
      <c r="P103" s="351">
        <f>IFERROR(ROUND(IF('Состав ВТК'!$K99=справочник!$A$5,$N103*VLOOKUP($L103,Расценка!$C$3:$E$12,3,FALSE)*$O103,0),2),"-")</f>
        <v>0</v>
      </c>
    </row>
    <row r="104" spans="1:16" ht="15.75" x14ac:dyDescent="0.25">
      <c r="A104" s="247">
        <v>92</v>
      </c>
      <c r="B104" s="349">
        <f>'Состав ВТК'!$B100</f>
        <v>0</v>
      </c>
      <c r="C104" s="349" t="str">
        <f>IFERROR(VLOOKUP($B104,'Состав ВТК'!$B$9:$J$109,3,FALSE),"-")</f>
        <v>-</v>
      </c>
      <c r="D104" s="247" t="str">
        <f>IFERROR(VLOOKUP($B104,'Состав ВТК'!$B$9:$J$109,7,FALSE),"-")</f>
        <v>-</v>
      </c>
      <c r="E104" s="247" t="str">
        <f>IFERROR(VLOOKUP($B104,'Состав ВТК'!$B$9:$J$109,8,FALSE),"-")</f>
        <v>-</v>
      </c>
      <c r="F104" s="247" t="str">
        <f>IFERROR(VLOOKUP($B104,'Состав ВТК'!$B$9:$G$109,6,FALSE),"-")</f>
        <v>-</v>
      </c>
      <c r="G104" s="247" t="str">
        <f>IFERROR(VLOOKUP($B104,'Состав ВТК'!$B$9:$J$109,9,FALSE),"-")</f>
        <v>-</v>
      </c>
      <c r="H104" s="350" t="str">
        <f>IFERROR(VLOOKUP($C104,Расценка!$N$3:$O$543,2,FALSE),"-")</f>
        <v>-</v>
      </c>
      <c r="I104" s="351">
        <f>IFERROR(SUMIFS('Трудозатраты членов ВТК'!$G$17:$G$117,'Трудозатраты членов ВТК'!$D$17:$D$117,B:B),"-")</f>
        <v>0</v>
      </c>
      <c r="J104" s="351">
        <f>IFERROR(SUMIFS('Трудозатраты членов ВТК'!$F$464:$F$713,'Трудозатраты членов ВТК'!$D$464:$D$713,B:B),"-")</f>
        <v>0</v>
      </c>
      <c r="K104" s="351" t="str">
        <f>IFERROR(ROUND($J104*VLOOKUP($H104,Расценка!$C$3:$E$12,3,FALSE),2),"-")</f>
        <v>-</v>
      </c>
      <c r="L104" s="638"/>
      <c r="M104" s="351">
        <f>IFERROR(SUMIFS('Трудозатраты членов ВТК'!$G$17:$G$117,'Трудозатраты членов ВТК'!$D$17:$D$117,B:B),"-")</f>
        <v>0</v>
      </c>
      <c r="N104" s="351">
        <f>IFERROR(SUMIFS('Трудозатраты членов ВТК'!$F$464:$F$713,'Трудозатраты членов ВТК'!$D$464:$D$713,B:B),"-")</f>
        <v>0</v>
      </c>
      <c r="O104" s="639"/>
      <c r="P104" s="351">
        <f>IFERROR(ROUND(IF('Состав ВТК'!$K100=справочник!$A$5,$N104*VLOOKUP($L104,Расценка!$C$3:$E$12,3,FALSE)*$O104,0),2),"-")</f>
        <v>0</v>
      </c>
    </row>
    <row r="105" spans="1:16" ht="15.75" x14ac:dyDescent="0.25">
      <c r="A105" s="247">
        <v>93</v>
      </c>
      <c r="B105" s="349">
        <f>'Состав ВТК'!$B101</f>
        <v>0</v>
      </c>
      <c r="C105" s="349" t="str">
        <f>IFERROR(VLOOKUP($B105,'Состав ВТК'!$B$9:$J$109,3,FALSE),"-")</f>
        <v>-</v>
      </c>
      <c r="D105" s="247" t="str">
        <f>IFERROR(VLOOKUP($B105,'Состав ВТК'!$B$9:$J$109,7,FALSE),"-")</f>
        <v>-</v>
      </c>
      <c r="E105" s="247" t="str">
        <f>IFERROR(VLOOKUP($B105,'Состав ВТК'!$B$9:$J$109,8,FALSE),"-")</f>
        <v>-</v>
      </c>
      <c r="F105" s="247" t="str">
        <f>IFERROR(VLOOKUP($B105,'Состав ВТК'!$B$9:$G$109,6,FALSE),"-")</f>
        <v>-</v>
      </c>
      <c r="G105" s="247" t="str">
        <f>IFERROR(VLOOKUP($B105,'Состав ВТК'!$B$9:$J$109,9,FALSE),"-")</f>
        <v>-</v>
      </c>
      <c r="H105" s="350" t="str">
        <f>IFERROR(VLOOKUP($C105,Расценка!$N$3:$O$543,2,FALSE),"-")</f>
        <v>-</v>
      </c>
      <c r="I105" s="351">
        <f>IFERROR(SUMIFS('Трудозатраты членов ВТК'!$G$17:$G$117,'Трудозатраты членов ВТК'!$D$17:$D$117,B:B),"-")</f>
        <v>0</v>
      </c>
      <c r="J105" s="351">
        <f>IFERROR(SUMIFS('Трудозатраты членов ВТК'!$F$464:$F$713,'Трудозатраты членов ВТК'!$D$464:$D$713,B:B),"-")</f>
        <v>0</v>
      </c>
      <c r="K105" s="351" t="str">
        <f>IFERROR(ROUND($J105*VLOOKUP($H105,Расценка!$C$3:$E$12,3,FALSE),2),"-")</f>
        <v>-</v>
      </c>
      <c r="L105" s="638"/>
      <c r="M105" s="351">
        <f>IFERROR(SUMIFS('Трудозатраты членов ВТК'!$G$17:$G$117,'Трудозатраты членов ВТК'!$D$17:$D$117,B:B),"-")</f>
        <v>0</v>
      </c>
      <c r="N105" s="351">
        <f>IFERROR(SUMIFS('Трудозатраты членов ВТК'!$F$464:$F$713,'Трудозатраты членов ВТК'!$D$464:$D$713,B:B),"-")</f>
        <v>0</v>
      </c>
      <c r="O105" s="639"/>
      <c r="P105" s="351">
        <f>IFERROR(ROUND(IF('Состав ВТК'!$K101=справочник!$A$5,$N105*VLOOKUP($L105,Расценка!$C$3:$E$12,3,FALSE)*$O105,0),2),"-")</f>
        <v>0</v>
      </c>
    </row>
    <row r="106" spans="1:16" ht="15.75" x14ac:dyDescent="0.25">
      <c r="A106" s="247">
        <v>94</v>
      </c>
      <c r="B106" s="349">
        <f>'Состав ВТК'!$B102</f>
        <v>0</v>
      </c>
      <c r="C106" s="349" t="str">
        <f>IFERROR(VLOOKUP($B106,'Состав ВТК'!$B$9:$J$109,3,FALSE),"-")</f>
        <v>-</v>
      </c>
      <c r="D106" s="247" t="str">
        <f>IFERROR(VLOOKUP($B106,'Состав ВТК'!$B$9:$J$109,7,FALSE),"-")</f>
        <v>-</v>
      </c>
      <c r="E106" s="247" t="str">
        <f>IFERROR(VLOOKUP($B106,'Состав ВТК'!$B$9:$J$109,8,FALSE),"-")</f>
        <v>-</v>
      </c>
      <c r="F106" s="247" t="str">
        <f>IFERROR(VLOOKUP($B106,'Состав ВТК'!$B$9:$G$109,6,FALSE),"-")</f>
        <v>-</v>
      </c>
      <c r="G106" s="247" t="str">
        <f>IFERROR(VLOOKUP($B106,'Состав ВТК'!$B$9:$J$109,9,FALSE),"-")</f>
        <v>-</v>
      </c>
      <c r="H106" s="350" t="str">
        <f>IFERROR(VLOOKUP($C106,Расценка!$N$3:$O$543,2,FALSE),"-")</f>
        <v>-</v>
      </c>
      <c r="I106" s="351">
        <f>IFERROR(SUMIFS('Трудозатраты членов ВТК'!$G$17:$G$117,'Трудозатраты членов ВТК'!$D$17:$D$117,B:B),"-")</f>
        <v>0</v>
      </c>
      <c r="J106" s="351">
        <f>IFERROR(SUMIFS('Трудозатраты членов ВТК'!$F$464:$F$713,'Трудозатраты членов ВТК'!$D$464:$D$713,B:B),"-")</f>
        <v>0</v>
      </c>
      <c r="K106" s="351" t="str">
        <f>IFERROR(ROUND($J106*VLOOKUP($H106,Расценка!$C$3:$E$12,3,FALSE),2),"-")</f>
        <v>-</v>
      </c>
      <c r="L106" s="638"/>
      <c r="M106" s="351">
        <f>IFERROR(SUMIFS('Трудозатраты членов ВТК'!$G$17:$G$117,'Трудозатраты членов ВТК'!$D$17:$D$117,B:B),"-")</f>
        <v>0</v>
      </c>
      <c r="N106" s="351">
        <f>IFERROR(SUMIFS('Трудозатраты членов ВТК'!$F$464:$F$713,'Трудозатраты членов ВТК'!$D$464:$D$713,B:B),"-")</f>
        <v>0</v>
      </c>
      <c r="O106" s="639"/>
      <c r="P106" s="351">
        <f>IFERROR(ROUND(IF('Состав ВТК'!$K102=справочник!$A$5,$N106*VLOOKUP($L106,Расценка!$C$3:$E$12,3,FALSE)*$O106,0),2),"-")</f>
        <v>0</v>
      </c>
    </row>
    <row r="107" spans="1:16" ht="15.75" x14ac:dyDescent="0.25">
      <c r="A107" s="247">
        <v>95</v>
      </c>
      <c r="B107" s="349">
        <f>'Состав ВТК'!$B103</f>
        <v>0</v>
      </c>
      <c r="C107" s="349" t="str">
        <f>IFERROR(VLOOKUP($B107,'Состав ВТК'!$B$9:$J$109,3,FALSE),"-")</f>
        <v>-</v>
      </c>
      <c r="D107" s="247" t="str">
        <f>IFERROR(VLOOKUP($B107,'Состав ВТК'!$B$9:$J$109,7,FALSE),"-")</f>
        <v>-</v>
      </c>
      <c r="E107" s="247" t="str">
        <f>IFERROR(VLOOKUP($B107,'Состав ВТК'!$B$9:$J$109,8,FALSE),"-")</f>
        <v>-</v>
      </c>
      <c r="F107" s="247" t="str">
        <f>IFERROR(VLOOKUP($B107,'Состав ВТК'!$B$9:$G$109,6,FALSE),"-")</f>
        <v>-</v>
      </c>
      <c r="G107" s="247" t="str">
        <f>IFERROR(VLOOKUP($B107,'Состав ВТК'!$B$9:$J$109,9,FALSE),"-")</f>
        <v>-</v>
      </c>
      <c r="H107" s="350" t="str">
        <f>IFERROR(VLOOKUP($C107,Расценка!$N$3:$O$543,2,FALSE),"-")</f>
        <v>-</v>
      </c>
      <c r="I107" s="351">
        <f>IFERROR(SUMIFS('Трудозатраты членов ВТК'!$G$17:$G$117,'Трудозатраты членов ВТК'!$D$17:$D$117,B:B),"-")</f>
        <v>0</v>
      </c>
      <c r="J107" s="351">
        <f>IFERROR(SUMIFS('Трудозатраты членов ВТК'!$F$464:$F$713,'Трудозатраты членов ВТК'!$D$464:$D$713,B:B),"-")</f>
        <v>0</v>
      </c>
      <c r="K107" s="351" t="str">
        <f>IFERROR(ROUND($J107*VLOOKUP($H107,Расценка!$C$3:$E$12,3,FALSE),2),"-")</f>
        <v>-</v>
      </c>
      <c r="L107" s="638"/>
      <c r="M107" s="351">
        <f>IFERROR(SUMIFS('Трудозатраты членов ВТК'!$G$17:$G$117,'Трудозатраты членов ВТК'!$D$17:$D$117,B:B),"-")</f>
        <v>0</v>
      </c>
      <c r="N107" s="351">
        <f>IFERROR(SUMIFS('Трудозатраты членов ВТК'!$F$464:$F$713,'Трудозатраты членов ВТК'!$D$464:$D$713,B:B),"-")</f>
        <v>0</v>
      </c>
      <c r="O107" s="639"/>
      <c r="P107" s="351">
        <f>IFERROR(ROUND(IF('Состав ВТК'!$K103=справочник!$A$5,$N107*VLOOKUP($L107,Расценка!$C$3:$E$12,3,FALSE)*$O107,0),2),"-")</f>
        <v>0</v>
      </c>
    </row>
    <row r="108" spans="1:16" ht="15.75" x14ac:dyDescent="0.25">
      <c r="A108" s="247">
        <v>96</v>
      </c>
      <c r="B108" s="349">
        <f>'Состав ВТК'!$B104</f>
        <v>0</v>
      </c>
      <c r="C108" s="349" t="str">
        <f>IFERROR(VLOOKUP($B108,'Состав ВТК'!$B$9:$J$109,3,FALSE),"-")</f>
        <v>-</v>
      </c>
      <c r="D108" s="247" t="str">
        <f>IFERROR(VLOOKUP($B108,'Состав ВТК'!$B$9:$J$109,7,FALSE),"-")</f>
        <v>-</v>
      </c>
      <c r="E108" s="247" t="str">
        <f>IFERROR(VLOOKUP($B108,'Состав ВТК'!$B$9:$J$109,8,FALSE),"-")</f>
        <v>-</v>
      </c>
      <c r="F108" s="247" t="str">
        <f>IFERROR(VLOOKUP($B108,'Состав ВТК'!$B$9:$G$109,6,FALSE),"-")</f>
        <v>-</v>
      </c>
      <c r="G108" s="247" t="str">
        <f>IFERROR(VLOOKUP($B108,'Состав ВТК'!$B$9:$J$109,9,FALSE),"-")</f>
        <v>-</v>
      </c>
      <c r="H108" s="350" t="str">
        <f>IFERROR(VLOOKUP($C108,Расценка!$N$3:$O$543,2,FALSE),"-")</f>
        <v>-</v>
      </c>
      <c r="I108" s="351">
        <f>IFERROR(SUMIFS('Трудозатраты членов ВТК'!$G$17:$G$117,'Трудозатраты членов ВТК'!$D$17:$D$117,B:B),"-")</f>
        <v>0</v>
      </c>
      <c r="J108" s="351">
        <f>IFERROR(SUMIFS('Трудозатраты членов ВТК'!$F$464:$F$713,'Трудозатраты членов ВТК'!$D$464:$D$713,B:B),"-")</f>
        <v>0</v>
      </c>
      <c r="K108" s="351" t="str">
        <f>IFERROR(ROUND($J108*VLOOKUP($H108,Расценка!$C$3:$E$12,3,FALSE),2),"-")</f>
        <v>-</v>
      </c>
      <c r="L108" s="638"/>
      <c r="M108" s="351">
        <f>IFERROR(SUMIFS('Трудозатраты членов ВТК'!$G$17:$G$117,'Трудозатраты членов ВТК'!$D$17:$D$117,B:B),"-")</f>
        <v>0</v>
      </c>
      <c r="N108" s="351">
        <f>IFERROR(SUMIFS('Трудозатраты членов ВТК'!$F$464:$F$713,'Трудозатраты членов ВТК'!$D$464:$D$713,B:B),"-")</f>
        <v>0</v>
      </c>
      <c r="O108" s="639"/>
      <c r="P108" s="351">
        <f>IFERROR(ROUND(IF('Состав ВТК'!$K104=справочник!$A$5,$N108*VLOOKUP($L108,Расценка!$C$3:$E$12,3,FALSE)*$O108,0),2),"-")</f>
        <v>0</v>
      </c>
    </row>
    <row r="109" spans="1:16" ht="15.75" x14ac:dyDescent="0.25">
      <c r="A109" s="247">
        <v>97</v>
      </c>
      <c r="B109" s="349">
        <f>'Состав ВТК'!$B105</f>
        <v>0</v>
      </c>
      <c r="C109" s="349" t="str">
        <f>IFERROR(VLOOKUP($B109,'Состав ВТК'!$B$9:$J$109,3,FALSE),"-")</f>
        <v>-</v>
      </c>
      <c r="D109" s="247" t="str">
        <f>IFERROR(VLOOKUP($B109,'Состав ВТК'!$B$9:$J$109,7,FALSE),"-")</f>
        <v>-</v>
      </c>
      <c r="E109" s="247" t="str">
        <f>IFERROR(VLOOKUP($B109,'Состав ВТК'!$B$9:$J$109,8,FALSE),"-")</f>
        <v>-</v>
      </c>
      <c r="F109" s="247" t="str">
        <f>IFERROR(VLOOKUP($B109,'Состав ВТК'!$B$9:$G$109,6,FALSE),"-")</f>
        <v>-</v>
      </c>
      <c r="G109" s="247" t="str">
        <f>IFERROR(VLOOKUP($B109,'Состав ВТК'!$B$9:$J$109,9,FALSE),"-")</f>
        <v>-</v>
      </c>
      <c r="H109" s="350" t="str">
        <f>IFERROR(VLOOKUP($C109,Расценка!$N$3:$O$543,2,FALSE),"-")</f>
        <v>-</v>
      </c>
      <c r="I109" s="351">
        <f>IFERROR(SUMIFS('Трудозатраты членов ВТК'!$G$17:$G$117,'Трудозатраты членов ВТК'!$D$17:$D$117,B:B),"-")</f>
        <v>0</v>
      </c>
      <c r="J109" s="351">
        <f>IFERROR(SUMIFS('Трудозатраты членов ВТК'!$F$464:$F$713,'Трудозатраты членов ВТК'!$D$464:$D$713,B:B),"-")</f>
        <v>0</v>
      </c>
      <c r="K109" s="351" t="str">
        <f>IFERROR(ROUND($J109*VLOOKUP($H109,Расценка!$C$3:$E$12,3,FALSE),2),"-")</f>
        <v>-</v>
      </c>
      <c r="L109" s="638"/>
      <c r="M109" s="351">
        <f>IFERROR(SUMIFS('Трудозатраты членов ВТК'!$G$17:$G$117,'Трудозатраты членов ВТК'!$D$17:$D$117,B:B),"-")</f>
        <v>0</v>
      </c>
      <c r="N109" s="351">
        <f>IFERROR(SUMIFS('Трудозатраты членов ВТК'!$F$464:$F$713,'Трудозатраты членов ВТК'!$D$464:$D$713,B:B),"-")</f>
        <v>0</v>
      </c>
      <c r="O109" s="639"/>
      <c r="P109" s="351">
        <f>IFERROR(ROUND(IF('Состав ВТК'!$K105=справочник!$A$5,$N109*VLOOKUP($L109,Расценка!$C$3:$E$12,3,FALSE)*$O109,0),2),"-")</f>
        <v>0</v>
      </c>
    </row>
    <row r="110" spans="1:16" ht="15.75" x14ac:dyDescent="0.25">
      <c r="A110" s="247">
        <v>98</v>
      </c>
      <c r="B110" s="349">
        <f>'Состав ВТК'!$B106</f>
        <v>0</v>
      </c>
      <c r="C110" s="349" t="str">
        <f>IFERROR(VLOOKUP($B110,'Состав ВТК'!$B$9:$J$109,3,FALSE),"-")</f>
        <v>-</v>
      </c>
      <c r="D110" s="247" t="str">
        <f>IFERROR(VLOOKUP($B110,'Состав ВТК'!$B$9:$J$109,7,FALSE),"-")</f>
        <v>-</v>
      </c>
      <c r="E110" s="247" t="str">
        <f>IFERROR(VLOOKUP($B110,'Состав ВТК'!$B$9:$J$109,8,FALSE),"-")</f>
        <v>-</v>
      </c>
      <c r="F110" s="247" t="str">
        <f>IFERROR(VLOOKUP($B110,'Состав ВТК'!$B$9:$G$109,6,FALSE),"-")</f>
        <v>-</v>
      </c>
      <c r="G110" s="247" t="str">
        <f>IFERROR(VLOOKUP($B110,'Состав ВТК'!$B$9:$J$109,9,FALSE),"-")</f>
        <v>-</v>
      </c>
      <c r="H110" s="350" t="str">
        <f>IFERROR(VLOOKUP($C110,Расценка!$N$3:$O$543,2,FALSE),"-")</f>
        <v>-</v>
      </c>
      <c r="I110" s="351">
        <f>IFERROR(SUMIFS('Трудозатраты членов ВТК'!$G$17:$G$117,'Трудозатраты членов ВТК'!$D$17:$D$117,B:B),"-")</f>
        <v>0</v>
      </c>
      <c r="J110" s="351">
        <f>IFERROR(SUMIFS('Трудозатраты членов ВТК'!$F$464:$F$713,'Трудозатраты членов ВТК'!$D$464:$D$713,B:B),"-")</f>
        <v>0</v>
      </c>
      <c r="K110" s="351" t="str">
        <f>IFERROR(ROUND($J110*VLOOKUP($H110,Расценка!$C$3:$E$12,3,FALSE),2),"-")</f>
        <v>-</v>
      </c>
      <c r="L110" s="638"/>
      <c r="M110" s="351">
        <f>IFERROR(SUMIFS('Трудозатраты членов ВТК'!$G$17:$G$117,'Трудозатраты членов ВТК'!$D$17:$D$117,B:B),"-")</f>
        <v>0</v>
      </c>
      <c r="N110" s="351">
        <f>IFERROR(SUMIFS('Трудозатраты членов ВТК'!$F$464:$F$713,'Трудозатраты членов ВТК'!$D$464:$D$713,B:B),"-")</f>
        <v>0</v>
      </c>
      <c r="O110" s="639"/>
      <c r="P110" s="351">
        <f>IFERROR(ROUND(IF('Состав ВТК'!$K106=справочник!$A$5,$N110*VLOOKUP($L110,Расценка!$C$3:$E$12,3,FALSE)*$O110,0),2),"-")</f>
        <v>0</v>
      </c>
    </row>
    <row r="111" spans="1:16" ht="15.75" x14ac:dyDescent="0.25">
      <c r="A111" s="247">
        <v>99</v>
      </c>
      <c r="B111" s="349">
        <f>'Состав ВТК'!$B107</f>
        <v>0</v>
      </c>
      <c r="C111" s="349" t="str">
        <f>IFERROR(VLOOKUP($B111,'Состав ВТК'!$B$9:$J$109,3,FALSE),"-")</f>
        <v>-</v>
      </c>
      <c r="D111" s="247" t="str">
        <f>IFERROR(VLOOKUP($B111,'Состав ВТК'!$B$9:$J$109,7,FALSE),"-")</f>
        <v>-</v>
      </c>
      <c r="E111" s="247" t="str">
        <f>IFERROR(VLOOKUP($B111,'Состав ВТК'!$B$9:$J$109,8,FALSE),"-")</f>
        <v>-</v>
      </c>
      <c r="F111" s="247" t="str">
        <f>IFERROR(VLOOKUP($B111,'Состав ВТК'!$B$9:$G$109,6,FALSE),"-")</f>
        <v>-</v>
      </c>
      <c r="G111" s="247" t="str">
        <f>IFERROR(VLOOKUP($B111,'Состав ВТК'!$B$9:$J$109,9,FALSE),"-")</f>
        <v>-</v>
      </c>
      <c r="H111" s="350" t="str">
        <f>IFERROR(VLOOKUP($C111,Расценка!$N$3:$O$543,2,FALSE),"-")</f>
        <v>-</v>
      </c>
      <c r="I111" s="351">
        <f>IFERROR(SUMIFS('Трудозатраты членов ВТК'!$G$17:$G$117,'Трудозатраты членов ВТК'!$D$17:$D$117,B:B),"-")</f>
        <v>0</v>
      </c>
      <c r="J111" s="351">
        <f>IFERROR(SUMIFS('Трудозатраты членов ВТК'!$F$464:$F$713,'Трудозатраты членов ВТК'!$D$464:$D$713,B:B),"-")</f>
        <v>0</v>
      </c>
      <c r="K111" s="351" t="str">
        <f>IFERROR(ROUND($J111*VLOOKUP($H111,Расценка!$C$3:$E$12,3,FALSE),2),"-")</f>
        <v>-</v>
      </c>
      <c r="L111" s="638"/>
      <c r="M111" s="351">
        <f>IFERROR(SUMIFS('Трудозатраты членов ВТК'!$G$17:$G$117,'Трудозатраты членов ВТК'!$D$17:$D$117,B:B),"-")</f>
        <v>0</v>
      </c>
      <c r="N111" s="351">
        <f>IFERROR(SUMIFS('Трудозатраты членов ВТК'!$F$464:$F$713,'Трудозатраты членов ВТК'!$D$464:$D$713,B:B),"-")</f>
        <v>0</v>
      </c>
      <c r="O111" s="639"/>
      <c r="P111" s="351">
        <f>IFERROR(ROUND(IF('Состав ВТК'!$K107=справочник!$A$5,$N111*VLOOKUP($L111,Расценка!$C$3:$E$12,3,FALSE)*$O111,0),2),"-")</f>
        <v>0</v>
      </c>
    </row>
    <row r="112" spans="1:16" ht="15.75" x14ac:dyDescent="0.25">
      <c r="A112" s="247">
        <v>100</v>
      </c>
      <c r="B112" s="349">
        <f>'Состав ВТК'!$B108</f>
        <v>0</v>
      </c>
      <c r="C112" s="349" t="str">
        <f>IFERROR(VLOOKUP($B112,'Состав ВТК'!$B$9:$J$109,3,FALSE),"-")</f>
        <v>-</v>
      </c>
      <c r="D112" s="247" t="str">
        <f>IFERROR(VLOOKUP($B112,'Состав ВТК'!$B$9:$J$109,7,FALSE),"-")</f>
        <v>-</v>
      </c>
      <c r="E112" s="247" t="str">
        <f>IFERROR(VLOOKUP($B112,'Состав ВТК'!$B$9:$J$109,8,FALSE),"-")</f>
        <v>-</v>
      </c>
      <c r="F112" s="247" t="str">
        <f>IFERROR(VLOOKUP($B112,'Состав ВТК'!$B$9:$G$109,6,FALSE),"-")</f>
        <v>-</v>
      </c>
      <c r="G112" s="247" t="str">
        <f>IFERROR(VLOOKUP($B112,'Состав ВТК'!$B$9:$J$109,9,FALSE),"-")</f>
        <v>-</v>
      </c>
      <c r="H112" s="350" t="str">
        <f>IFERROR(VLOOKUP($C112,Расценка!$N$3:$O$543,2,FALSE),"-")</f>
        <v>-</v>
      </c>
      <c r="I112" s="351">
        <f>IFERROR(SUMIFS('Трудозатраты членов ВТК'!$G$17:$G$117,'Трудозатраты членов ВТК'!$D$17:$D$117,B:B),"-")</f>
        <v>0</v>
      </c>
      <c r="J112" s="351">
        <f>IFERROR(SUMIFS('Трудозатраты членов ВТК'!$F$464:$F$713,'Трудозатраты членов ВТК'!$D$464:$D$713,B:B),"-")</f>
        <v>0</v>
      </c>
      <c r="K112" s="351" t="str">
        <f>IFERROR(ROUND($J112*VLOOKUP($H112,Расценка!$C$3:$E$12,3,FALSE),2),"-")</f>
        <v>-</v>
      </c>
      <c r="L112" s="638"/>
      <c r="M112" s="351">
        <f>IFERROR(SUMIFS('Трудозатраты членов ВТК'!$G$17:$G$117,'Трудозатраты членов ВТК'!$D$17:$D$117,B:B),"-")</f>
        <v>0</v>
      </c>
      <c r="N112" s="351">
        <f>IFERROR(SUMIFS('Трудозатраты членов ВТК'!$F$464:$F$713,'Трудозатраты членов ВТК'!$D$464:$D$713,B:B),"-")</f>
        <v>0</v>
      </c>
      <c r="O112" s="639"/>
      <c r="P112" s="351">
        <f>IFERROR(ROUND(IF('Состав ВТК'!$K108=справочник!$A$5,$N112*VLOOKUP($L112,Расценка!$C$3:$E$12,3,FALSE)*$O112,0),2),"-")</f>
        <v>0</v>
      </c>
    </row>
    <row r="113" spans="9:16" x14ac:dyDescent="0.25">
      <c r="I113" s="232"/>
      <c r="J113" s="232"/>
      <c r="K113" s="232"/>
      <c r="L113" s="232"/>
      <c r="M113" s="232"/>
      <c r="N113" s="232"/>
      <c r="O113" s="641"/>
      <c r="P113" s="232"/>
    </row>
    <row r="129" spans="8:8" x14ac:dyDescent="0.25">
      <c r="H129" s="352"/>
    </row>
    <row r="130" spans="8:8" x14ac:dyDescent="0.25">
      <c r="H130" s="353"/>
    </row>
    <row r="131" spans="8:8" x14ac:dyDescent="0.25">
      <c r="H131" s="354"/>
    </row>
    <row r="132" spans="8:8" x14ac:dyDescent="0.25">
      <c r="H132" s="355"/>
    </row>
    <row r="133" spans="8:8" x14ac:dyDescent="0.25">
      <c r="H133" s="355"/>
    </row>
    <row r="134" spans="8:8" x14ac:dyDescent="0.25">
      <c r="H134" s="355"/>
    </row>
    <row r="135" spans="8:8" x14ac:dyDescent="0.25">
      <c r="H135" s="354"/>
    </row>
    <row r="136" spans="8:8" x14ac:dyDescent="0.25">
      <c r="H136" s="355"/>
    </row>
    <row r="137" spans="8:8" x14ac:dyDescent="0.25">
      <c r="H137" s="355"/>
    </row>
    <row r="138" spans="8:8" x14ac:dyDescent="0.25">
      <c r="H138" s="355"/>
    </row>
    <row r="139" spans="8:8" x14ac:dyDescent="0.25">
      <c r="H139" s="353"/>
    </row>
    <row r="140" spans="8:8" x14ac:dyDescent="0.25">
      <c r="H140" s="354"/>
    </row>
    <row r="141" spans="8:8" x14ac:dyDescent="0.25">
      <c r="H141" s="355"/>
    </row>
    <row r="142" spans="8:8" x14ac:dyDescent="0.25">
      <c r="H142" s="355"/>
    </row>
    <row r="143" spans="8:8" x14ac:dyDescent="0.25">
      <c r="H143" s="355"/>
    </row>
    <row r="144" spans="8:8" x14ac:dyDescent="0.25">
      <c r="H144" s="354"/>
    </row>
    <row r="145" spans="8:8" x14ac:dyDescent="0.25">
      <c r="H145" s="355"/>
    </row>
    <row r="146" spans="8:8" x14ac:dyDescent="0.25">
      <c r="H146" s="355"/>
    </row>
    <row r="147" spans="8:8" x14ac:dyDescent="0.25">
      <c r="H147" s="355"/>
    </row>
  </sheetData>
  <sheetProtection password="CF98" sheet="1" formatCells="0" formatColumns="0" formatRows="0" insertRows="0" deleteRows="0" sort="0" autoFilter="0"/>
  <mergeCells count="10">
    <mergeCell ref="A11:G11"/>
    <mergeCell ref="A12:G12"/>
    <mergeCell ref="A8:A9"/>
    <mergeCell ref="B8:B9"/>
    <mergeCell ref="C8:F8"/>
    <mergeCell ref="L8:P8"/>
    <mergeCell ref="L1:L4"/>
    <mergeCell ref="A7:G7"/>
    <mergeCell ref="H8:K8"/>
    <mergeCell ref="A10:G10"/>
  </mergeCells>
  <conditionalFormatting sqref="I13:I113">
    <cfRule type="expression" dxfId="182" priority="2">
      <formula>IFERROR(IF($E13="НПР",$I13&lt;0.1)+IF($E13="Иные",$I13&lt;0.1),"-")</formula>
    </cfRule>
  </conditionalFormatting>
  <conditionalFormatting sqref="M13:M113">
    <cfRule type="expression" dxfId="181" priority="1">
      <formula>IFERROR(IF($E13="НПР",$M13&lt;0.1)+IF($E13="Иные",$M13&lt;0.1),"-")</formula>
    </cfRule>
  </conditionalFormatting>
  <dataValidations xWindow="1722" yWindow="741" count="5">
    <dataValidation type="list" allowBlank="1" showInputMessage="1" showErrorMessage="1" sqref="L115">
      <formula1>INDIRECT(C115)</formula1>
    </dataValidation>
    <dataValidation type="list" allowBlank="1" showInputMessage="1" showErrorMessage="1" sqref="L114">
      <formula1>INDIRECT($C114)</formula1>
    </dataValidation>
    <dataValidation type="list" allowBlank="1" showInputMessage="1" showErrorMessage="1" prompt="Выбрать из списка" sqref="L113">
      <formula1>INDIRECT($C113)</formula1>
    </dataValidation>
    <dataValidation type="list" allowBlank="1" showInputMessage="1" showErrorMessage="1" prompt="Выбрать из списка" sqref="O13:O112">
      <formula1>INDIRECT(G13)</formula1>
    </dataValidation>
    <dataValidation type="list" allowBlank="1" showInputMessage="1" showErrorMessage="1" errorTitle="Недопустимый ввод!" error="Выбрать из списка" prompt="Выбрать из списка" sqref="L13:L112">
      <formula1>INDIRECT($C13)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4" id="{9B1A20E3-A685-4AB4-8471-69316BE41B73}">
            <xm:f>SUMIF($E:$E,$E13,$P:$P)&gt;VLOOKUP($E13,'Расчет участников НИР'!$AC$2:$AE$4,3,FALSE)</xm:f>
            <x14:dxf>
              <fill>
                <patternFill>
                  <bgColor rgb="FFFFC000"/>
                </patternFill>
              </fill>
            </x14:dxf>
          </x14:cfRule>
          <xm:sqref>P13:P112</xm:sqref>
        </x14:conditionalFormatting>
        <x14:conditionalFormatting xmlns:xm="http://schemas.microsoft.com/office/excel/2006/main">
          <x14:cfRule type="expression" priority="8" id="{9FD9E9C5-851C-4930-AE5D-340E5FFC4DDB}">
            <xm:f>SUMIF($E:$E,$E13,$K:$K)&gt;VLOOKUP($E13,'Расчет участников НИР'!$AC$2:$AE$4,3,FALSE)</xm:f>
            <x14:dxf>
              <fill>
                <patternFill>
                  <bgColor rgb="FFFFC000"/>
                </patternFill>
              </fill>
            </x14:dxf>
          </x14:cfRule>
          <xm:sqref>K13:K112</xm:sqref>
        </x14:conditionalFormatting>
        <x14:conditionalFormatting xmlns:xm="http://schemas.microsoft.com/office/excel/2006/main">
          <x14:cfRule type="expression" priority="7" id="{2FC84C29-ADDF-4BE7-9A72-933EC7C9F4B9}">
            <xm:f>IFERROR(SUMIF($E:$E,$E13,$I:$I)&gt;VLOOKUP($E13,'Расчет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I13:I113</xm:sqref>
        </x14:conditionalFormatting>
        <x14:conditionalFormatting xmlns:xm="http://schemas.microsoft.com/office/excel/2006/main">
          <x14:cfRule type="expression" priority="6" id="{9BDBEDB0-9571-4649-BA2D-4CD8C7D442FD}">
            <xm:f>IFERROR(SUMIF($E:$E,$E13,$M:$M)&gt;VLOOKUP($E13,'Расчет участников НИР'!$AC$2:$AE$4,2,FALSE),"-")</xm:f>
            <x14:dxf>
              <fill>
                <patternFill>
                  <bgColor rgb="FFFFC000"/>
                </patternFill>
              </fill>
            </x14:dxf>
          </x14:cfRule>
          <xm:sqref>M13:M113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722" yWindow="741" count="2">
        <x14:dataValidation type="list" allowBlank="1" showInputMessage="1" showErrorMessage="1">
          <x14:formula1>
            <xm:f>'C:\Users\Vvsmirnova\Desktop\[Образец_Расчета тем НИР ГЗ 26.01.23.xlsm]справочник'!#REF!</xm:f>
          </x14:formula1>
          <xm:sqref>H113</xm:sqref>
        </x14:dataValidation>
        <x14:dataValidation type="list" allowBlank="1" showInputMessage="1" showErrorMessage="1">
          <x14:formula1>
            <xm:f>справочник!$C$2:$C$4</xm:f>
          </x14:formula1>
          <xm:sqref>G113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F0"/>
    <pageSetUpPr fitToPage="1"/>
  </sheetPr>
  <dimension ref="A1:AI121"/>
  <sheetViews>
    <sheetView zoomScale="70" zoomScaleNormal="70" workbookViewId="0">
      <selection activeCell="AA14" sqref="AA14:AA27"/>
    </sheetView>
  </sheetViews>
  <sheetFormatPr defaultRowHeight="15" x14ac:dyDescent="0.25"/>
  <cols>
    <col min="1" max="1" width="4.7109375" style="304" customWidth="1"/>
    <col min="2" max="2" width="34.28515625" style="311" customWidth="1"/>
    <col min="3" max="3" width="20.28515625" style="311" customWidth="1"/>
    <col min="4" max="4" width="17.5703125" style="311" customWidth="1"/>
    <col min="5" max="5" width="17.28515625" style="311" customWidth="1"/>
    <col min="6" max="6" width="19.85546875" style="311" customWidth="1"/>
    <col min="7" max="7" width="19.140625" style="311" customWidth="1"/>
    <col min="8" max="9" width="19.140625" style="311" hidden="1" customWidth="1"/>
    <col min="10" max="10" width="16" style="311" customWidth="1"/>
    <col min="11" max="11" width="16.140625" style="311" customWidth="1"/>
    <col min="12" max="12" width="19.28515625" style="311" bestFit="1" customWidth="1"/>
    <col min="13" max="14" width="19.28515625" style="311" hidden="1" customWidth="1"/>
    <col min="15" max="15" width="15.42578125" style="311" customWidth="1"/>
    <col min="16" max="16" width="16.7109375" style="311" customWidth="1"/>
    <col min="17" max="17" width="18.7109375" style="311" customWidth="1"/>
    <col min="18" max="19" width="18.7109375" style="311" hidden="1" customWidth="1"/>
    <col min="20" max="20" width="18.7109375" style="311" customWidth="1"/>
    <col min="21" max="21" width="15.85546875" style="311" customWidth="1"/>
    <col min="22" max="22" width="14.140625" style="311" customWidth="1"/>
    <col min="23" max="23" width="18.140625" style="311" customWidth="1"/>
    <col min="24" max="24" width="14.140625" style="311" hidden="1" customWidth="1"/>
    <col min="25" max="25" width="17.140625" style="311" customWidth="1"/>
    <col min="26" max="26" width="17.85546875" style="311" customWidth="1"/>
    <col min="27" max="27" width="20" style="307" customWidth="1"/>
    <col min="28" max="29" width="22.7109375" style="312" customWidth="1"/>
    <col min="30" max="30" width="13.85546875" style="305" bestFit="1" customWidth="1"/>
    <col min="31" max="31" width="15.28515625" style="305" bestFit="1" customWidth="1"/>
    <col min="32" max="32" width="15.42578125" style="305" bestFit="1" customWidth="1"/>
    <col min="33" max="33" width="17.42578125" style="305" customWidth="1"/>
    <col min="34" max="34" width="13.7109375" style="305" bestFit="1" customWidth="1"/>
    <col min="35" max="35" width="13" style="305" bestFit="1" customWidth="1"/>
    <col min="36" max="36" width="11.42578125" style="305" bestFit="1" customWidth="1"/>
    <col min="37" max="37" width="13" style="305" bestFit="1" customWidth="1"/>
    <col min="38" max="16384" width="9.140625" style="305"/>
  </cols>
  <sheetData>
    <row r="1" spans="1:35" s="304" customFormat="1" ht="35.25" customHeight="1" thickBot="1" x14ac:dyDescent="0.3">
      <c r="B1" s="835" t="s">
        <v>428</v>
      </c>
      <c r="C1" s="206" t="s">
        <v>427</v>
      </c>
      <c r="D1" s="309" t="s">
        <v>54</v>
      </c>
      <c r="E1" s="309" t="s">
        <v>73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12"/>
    </row>
    <row r="2" spans="1:35" s="304" customFormat="1" ht="33" customHeight="1" x14ac:dyDescent="0.25">
      <c r="B2" s="836"/>
      <c r="C2" s="309">
        <f>'Расчет участников НИР'!$H$3*2</f>
        <v>208200</v>
      </c>
      <c r="D2" s="309">
        <f>'Расчет участников НИР'!$H$3*2</f>
        <v>208200</v>
      </c>
      <c r="E2" s="309">
        <f>'Расчет участников НИР'!$H$3*2</f>
        <v>208200</v>
      </c>
      <c r="F2" s="311"/>
      <c r="G2" s="823" t="s">
        <v>424</v>
      </c>
      <c r="H2" s="824"/>
      <c r="I2" s="824"/>
      <c r="J2" s="824"/>
      <c r="K2" s="825"/>
      <c r="L2" s="823" t="s">
        <v>425</v>
      </c>
      <c r="M2" s="824"/>
      <c r="N2" s="824"/>
      <c r="O2" s="824"/>
      <c r="P2" s="825"/>
      <c r="Q2" s="823" t="s">
        <v>426</v>
      </c>
      <c r="R2" s="824"/>
      <c r="S2" s="824"/>
      <c r="T2" s="824"/>
      <c r="U2" s="825"/>
      <c r="V2" s="823" t="s">
        <v>423</v>
      </c>
      <c r="W2" s="824"/>
      <c r="X2" s="824"/>
      <c r="Y2" s="825"/>
      <c r="Z2" s="823" t="s">
        <v>427</v>
      </c>
      <c r="AA2" s="824"/>
      <c r="AB2" s="824"/>
      <c r="AC2" s="825"/>
      <c r="AE2" s="312" t="s">
        <v>232</v>
      </c>
    </row>
    <row r="3" spans="1:35" s="304" customFormat="1" ht="28.5" customHeight="1" x14ac:dyDescent="0.25">
      <c r="B3" s="837"/>
      <c r="C3" s="642">
        <v>2</v>
      </c>
      <c r="D3" s="642">
        <v>2</v>
      </c>
      <c r="E3" s="642">
        <v>2</v>
      </c>
      <c r="F3" s="311"/>
      <c r="G3" s="417" t="s">
        <v>51</v>
      </c>
      <c r="H3" s="312"/>
      <c r="I3" s="312"/>
      <c r="J3" s="312" t="s">
        <v>52</v>
      </c>
      <c r="K3" s="419" t="s">
        <v>69</v>
      </c>
      <c r="L3" s="417" t="s">
        <v>51</v>
      </c>
      <c r="M3" s="312"/>
      <c r="N3" s="312"/>
      <c r="O3" s="312" t="s">
        <v>52</v>
      </c>
      <c r="P3" s="419" t="s">
        <v>69</v>
      </c>
      <c r="Q3" s="417" t="s">
        <v>51</v>
      </c>
      <c r="R3" s="312"/>
      <c r="S3" s="312"/>
      <c r="T3" s="312" t="s">
        <v>52</v>
      </c>
      <c r="U3" s="419" t="s">
        <v>69</v>
      </c>
      <c r="V3" s="417" t="s">
        <v>51</v>
      </c>
      <c r="W3" s="312" t="s">
        <v>52</v>
      </c>
      <c r="X3" s="312"/>
      <c r="Y3" s="419" t="s">
        <v>69</v>
      </c>
      <c r="Z3" s="417" t="s">
        <v>64</v>
      </c>
      <c r="AA3" s="312" t="s">
        <v>51</v>
      </c>
      <c r="AB3" s="312" t="s">
        <v>52</v>
      </c>
      <c r="AC3" s="419" t="s">
        <v>69</v>
      </c>
      <c r="AE3" s="422" t="s">
        <v>430</v>
      </c>
    </row>
    <row r="4" spans="1:35" s="304" customFormat="1" ht="43.5" thickBot="1" x14ac:dyDescent="0.3">
      <c r="B4" s="844" t="s">
        <v>552</v>
      </c>
      <c r="C4" s="643" t="str">
        <f>IFERROR(SUMIF($D$14:$D$115,"НПР",$AB$14:$AB$115)/12/SUMIF(Распределение!$E$13:$E$113,"НПР",Распределение!$M$13:$M$113),"-")</f>
        <v>-</v>
      </c>
      <c r="D4" s="643" t="str">
        <f>IFERROR(SUMIF($C$14:$C$115,"ППС",$AB$14:$AB$115)/12/SUMIF(Распределение!$D$13:$D$113,"ППС",Распределение!$M$13:$M$113),"-")</f>
        <v>-</v>
      </c>
      <c r="E4" s="643" t="str">
        <f>IFERROR(SUMIF($C$14:$C$115,"НС",$AB$14:$AB$115)/12/SUMIF(Распределение!$D$13:$D$113,"НС",Распределение!$M$13:$M$113),"-")</f>
        <v>-</v>
      </c>
      <c r="F4" s="524" t="s">
        <v>429</v>
      </c>
      <c r="G4" s="414">
        <f>SUMIF($D$14:$D$115,"НПР",$G$14:$G$115)</f>
        <v>0</v>
      </c>
      <c r="H4" s="415"/>
      <c r="I4" s="415"/>
      <c r="J4" s="415">
        <f>SUMIF($D$14:$D$115,"НТР",$G$14:$G$115)</f>
        <v>0</v>
      </c>
      <c r="K4" s="416">
        <f>SUMIF($D$14:$D$115,"Иные",$G$14:$G$115)</f>
        <v>0</v>
      </c>
      <c r="L4" s="414">
        <f>SUMIF($D$14:$D$115,"НПР",$L$14:$L$115)</f>
        <v>0</v>
      </c>
      <c r="M4" s="415"/>
      <c r="N4" s="415"/>
      <c r="O4" s="415">
        <f>SUMIF($D$14:$D$115,"НТР",$L$14:$L$115)</f>
        <v>0</v>
      </c>
      <c r="P4" s="416">
        <f>SUMIF($D$14:$D$115,"Иные",$R$14:$R$115)</f>
        <v>0</v>
      </c>
      <c r="Q4" s="414">
        <f>SUMIF($D$14:$D$115,"НПР",$R$14:$R$115)</f>
        <v>0</v>
      </c>
      <c r="R4" s="415"/>
      <c r="S4" s="415"/>
      <c r="T4" s="415">
        <f>SUMIF($D$14:$D$115,"НТР",$R$14:$R$115)</f>
        <v>0</v>
      </c>
      <c r="U4" s="416">
        <f>SUMIF($D$14:$D$115,"Иные",$R$14:$R$115)</f>
        <v>0</v>
      </c>
      <c r="V4" s="414">
        <f>SUMIF($D$14:$D$115,"НПР",$V$14:$V$115)</f>
        <v>0</v>
      </c>
      <c r="W4" s="415">
        <f>SUMIF($D$14:$D$115,"НТР",$V$14:$V$115)</f>
        <v>0</v>
      </c>
      <c r="X4" s="415"/>
      <c r="Y4" s="416">
        <f>SUMIF($D$14:$D$115,"Иные",$V$14:$V$115)</f>
        <v>0</v>
      </c>
      <c r="Z4" s="418">
        <f>SUM(AA4:AC4)</f>
        <v>0</v>
      </c>
      <c r="AA4" s="415">
        <f>SUMIF($D$14:$D$115,"НПР",$AB$14:$AB$115)</f>
        <v>0</v>
      </c>
      <c r="AB4" s="415">
        <f>SUMIF($D$14:$D$115,"НТР",$AB$14:$AB$115)</f>
        <v>0</v>
      </c>
      <c r="AC4" s="416">
        <f>SUMIF($D$14:$D$115,"Иные",$AB$14:$AB$115)</f>
        <v>0</v>
      </c>
      <c r="AE4" s="421" t="s">
        <v>431</v>
      </c>
    </row>
    <row r="5" spans="1:35" s="304" customFormat="1" ht="43.5" thickBot="1" x14ac:dyDescent="0.3">
      <c r="B5" s="835"/>
      <c r="C5" s="644" t="str">
        <f>IFERROR(C4*$C$3/$C$2,"-")</f>
        <v>-</v>
      </c>
      <c r="D5" s="644" t="str">
        <f>IFERROR(D4*$D$3/$D$2,"-")</f>
        <v>-</v>
      </c>
      <c r="E5" s="644" t="str">
        <f>IFERROR(E4*$E$3/$E$2,"-")</f>
        <v>-</v>
      </c>
      <c r="F5" s="524" t="s">
        <v>383</v>
      </c>
      <c r="G5" s="414">
        <f>SUMIF($D$14:$D$115,"НПР",$K$14:$K$115)+SUMIF($D$14:$D$115,"НПР",$J$14:$J$115)</f>
        <v>0</v>
      </c>
      <c r="H5" s="415"/>
      <c r="I5" s="415"/>
      <c r="J5" s="415">
        <f>SUMIF($D$14:$D$115,"НТР",$J$14:$J$115)+SUMIF($D$14:$D$115,"НТР",$K$14:$K$115)</f>
        <v>0</v>
      </c>
      <c r="K5" s="416">
        <f>SUMIF($D$14:$D$115,"Иные",$J$14:$J$115)+SUMIF($D$14:$D$115,"Иные",$K$14:$K$115)</f>
        <v>0</v>
      </c>
      <c r="L5" s="414">
        <f>SUMIF($D$14:$D$115,"НПР",$O$14:$O$115)+SUMIF($D$14:$D$115,"НПР",$P$14:$P$115)</f>
        <v>0</v>
      </c>
      <c r="M5" s="415"/>
      <c r="N5" s="415"/>
      <c r="O5" s="415">
        <f>SUMIF($D$14:$D$115,"НТР",$O$14:$O$115)+SUMIF($D$14:$D$115,"НТР",$P$14:$P$115)</f>
        <v>0</v>
      </c>
      <c r="P5" s="416">
        <f>SUMIF($D$14:$D$115,"Иные",$O$14:$O$115)+SUMIF($D$14:$D$115,"Иные",$P$14:$P$115)</f>
        <v>0</v>
      </c>
      <c r="Q5" s="414">
        <f>SUMIF($D$14:$D$115,"НПР",$T$14:$T$115)+SUMIF($D$14:$D$115,"НПР",$U$14:$U$115)</f>
        <v>0</v>
      </c>
      <c r="R5" s="415"/>
      <c r="S5" s="415"/>
      <c r="T5" s="415">
        <f>SUMIF($D$14:$D$115,"НТР",$T$14:$T$115)+SUMIF($D$14:$D$115,"НТР",$U$14:$U$115)</f>
        <v>0</v>
      </c>
      <c r="U5" s="416">
        <f>SUMIF($D$14:$D$115,"Иные",$T$14:$T$115)+SUMIF($D$14:$D$115,"Иные",$U$14:$U$115)</f>
        <v>0</v>
      </c>
      <c r="V5" s="414">
        <f>SUMIF($D$14:$D$115,"НПР",$AA$14:$AA$115)</f>
        <v>0</v>
      </c>
      <c r="W5" s="415">
        <f>SUMIF($D$14:$D$115,"НТР",$AA$14:$AA$115)</f>
        <v>0</v>
      </c>
      <c r="X5" s="415"/>
      <c r="Y5" s="416">
        <f>SUMIF($D$14:$D$115,"Иные",$AA$14:$AA$115)</f>
        <v>0</v>
      </c>
      <c r="Z5" s="414">
        <f>SUM(AA5:AC5)</f>
        <v>0</v>
      </c>
      <c r="AA5" s="415">
        <f>SUMIF($D$14:$D$115,"НПР",$AC$14:$AC$115)</f>
        <v>0</v>
      </c>
      <c r="AB5" s="415">
        <f>SUMIF($D$14:$D$115,"НТР",$AC$14:$AC$115)</f>
        <v>0</v>
      </c>
      <c r="AC5" s="416">
        <f>SUMIF($D$14:$D$115,"Иные",$AC$14:$AC$115)</f>
        <v>0</v>
      </c>
      <c r="AE5" s="521" t="s">
        <v>432</v>
      </c>
    </row>
    <row r="6" spans="1:35" s="304" customFormat="1" ht="28.5" customHeight="1" thickBot="1" x14ac:dyDescent="0.3">
      <c r="B6" s="845" t="s">
        <v>553</v>
      </c>
      <c r="C6" s="645" t="str">
        <f>IFERROR(SUMIF($D$14:$D$115,"НПР",$AC$14:$AC$115)/12/SUMIF(Распределение!$E$13:$E$113,"НПР",Распределение!$M$13:$M$113),"-")</f>
        <v>-</v>
      </c>
      <c r="D6" s="645" t="str">
        <f>IFERROR(SUMIF($C$14:$C$115,"ППС",$AC$14:$AC$115)/12/SUMIF(Распределение!$D$13:$D$113,"ППС",Распределение!$M$13:$M$113),"-")</f>
        <v>-</v>
      </c>
      <c r="E6" s="646" t="str">
        <f>IFERROR(SUMIF($C$14:$C$115,"НС",$AC$14:$AC$115)/12/SUMIF(Распределение!$D$13:$D$113,"НС",Распределение!$M$13:$M$113),"-")</f>
        <v>-</v>
      </c>
      <c r="F6" s="524" t="s">
        <v>389</v>
      </c>
      <c r="G6" s="414">
        <f>G5-G4</f>
        <v>0</v>
      </c>
      <c r="H6" s="415"/>
      <c r="I6" s="415"/>
      <c r="J6" s="415">
        <f t="shared" ref="J6:Y6" si="0">J5-J4</f>
        <v>0</v>
      </c>
      <c r="K6" s="416">
        <f t="shared" si="0"/>
        <v>0</v>
      </c>
      <c r="L6" s="414">
        <f t="shared" si="0"/>
        <v>0</v>
      </c>
      <c r="M6" s="415"/>
      <c r="N6" s="415"/>
      <c r="O6" s="415">
        <f t="shared" si="0"/>
        <v>0</v>
      </c>
      <c r="P6" s="416">
        <f t="shared" si="0"/>
        <v>0</v>
      </c>
      <c r="Q6" s="414">
        <f>Q5-Q4</f>
        <v>0</v>
      </c>
      <c r="R6" s="415"/>
      <c r="S6" s="415"/>
      <c r="T6" s="415">
        <f t="shared" si="0"/>
        <v>0</v>
      </c>
      <c r="U6" s="416">
        <f t="shared" si="0"/>
        <v>0</v>
      </c>
      <c r="V6" s="414">
        <f t="shared" si="0"/>
        <v>0</v>
      </c>
      <c r="W6" s="415">
        <f t="shared" si="0"/>
        <v>0</v>
      </c>
      <c r="X6" s="415"/>
      <c r="Y6" s="416">
        <f t="shared" si="0"/>
        <v>0</v>
      </c>
      <c r="Z6" s="414">
        <f t="shared" ref="Z6:AC6" si="1">Z5-Z4</f>
        <v>0</v>
      </c>
      <c r="AA6" s="415">
        <f t="shared" si="1"/>
        <v>0</v>
      </c>
      <c r="AB6" s="415">
        <f t="shared" si="1"/>
        <v>0</v>
      </c>
      <c r="AC6" s="416">
        <f t="shared" si="1"/>
        <v>0</v>
      </c>
      <c r="AE6" s="522" t="s">
        <v>433</v>
      </c>
    </row>
    <row r="7" spans="1:35" s="304" customFormat="1" ht="28.5" customHeight="1" thickBot="1" x14ac:dyDescent="0.3">
      <c r="B7" s="846"/>
      <c r="C7" s="647" t="str">
        <f>IFERROR(C6*$C$3/$C$2,"-")</f>
        <v>-</v>
      </c>
      <c r="D7" s="647" t="str">
        <f>IFERROR(D6*$D$3/$D$2,"-")</f>
        <v>-</v>
      </c>
      <c r="E7" s="648" t="str">
        <f>IFERROR(E6*$E$3/$E$2,"-")</f>
        <v>-</v>
      </c>
      <c r="F7" s="524"/>
      <c r="H7" s="311"/>
      <c r="I7" s="311"/>
      <c r="J7" s="311"/>
      <c r="K7" s="669"/>
      <c r="M7" s="311"/>
      <c r="N7" s="311"/>
      <c r="O7" s="311"/>
      <c r="P7" s="311"/>
      <c r="R7" s="311"/>
      <c r="S7" s="311"/>
      <c r="T7" s="311"/>
      <c r="U7" s="311"/>
      <c r="V7" s="311"/>
      <c r="X7" s="311"/>
      <c r="Y7" s="311"/>
      <c r="Z7" s="311"/>
      <c r="AA7" s="312"/>
      <c r="AB7" s="311"/>
      <c r="AD7" s="311"/>
      <c r="AE7" s="522"/>
    </row>
    <row r="8" spans="1:35" s="653" customFormat="1" x14ac:dyDescent="0.25">
      <c r="G8" s="653">
        <v>45371</v>
      </c>
      <c r="H8" s="670" t="e">
        <f>G12/'Расчет участников НИР'!H14</f>
        <v>#DIV/0!</v>
      </c>
      <c r="L8" s="653">
        <v>45463</v>
      </c>
      <c r="M8" s="670" t="e">
        <f>L12/'Расчет участников НИР'!H14</f>
        <v>#DIV/0!</v>
      </c>
      <c r="Q8" s="653">
        <v>45555</v>
      </c>
      <c r="R8" s="670" t="e">
        <f>Выплаты!Q12/'Расчет участников НИР'!H14</f>
        <v>#DIV/0!</v>
      </c>
      <c r="U8" s="654"/>
      <c r="V8" s="653">
        <v>45641</v>
      </c>
      <c r="X8" s="670" t="e">
        <f>H8+M8+R8</f>
        <v>#DIV/0!</v>
      </c>
    </row>
    <row r="9" spans="1:35" s="304" customFormat="1" ht="30.75" customHeight="1" x14ac:dyDescent="0.25">
      <c r="A9" s="840" t="s">
        <v>0</v>
      </c>
      <c r="B9" s="839" t="s">
        <v>2</v>
      </c>
      <c r="C9" s="839" t="s">
        <v>448</v>
      </c>
      <c r="D9" s="839" t="s">
        <v>117</v>
      </c>
      <c r="E9" s="839" t="s">
        <v>384</v>
      </c>
      <c r="F9" s="839" t="s">
        <v>385</v>
      </c>
      <c r="G9" s="839" t="s">
        <v>388</v>
      </c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26" t="s">
        <v>382</v>
      </c>
      <c r="W9" s="827"/>
      <c r="X9" s="827"/>
      <c r="Y9" s="827"/>
      <c r="Z9" s="828"/>
      <c r="AA9" s="841" t="s">
        <v>383</v>
      </c>
      <c r="AB9" s="839" t="s">
        <v>421</v>
      </c>
      <c r="AC9" s="839" t="s">
        <v>422</v>
      </c>
    </row>
    <row r="10" spans="1:35" s="304" customFormat="1" ht="30.75" customHeight="1" x14ac:dyDescent="0.25">
      <c r="A10" s="840"/>
      <c r="B10" s="839"/>
      <c r="C10" s="839"/>
      <c r="D10" s="839"/>
      <c r="E10" s="839"/>
      <c r="F10" s="839"/>
      <c r="G10" s="839" t="s">
        <v>378</v>
      </c>
      <c r="H10" s="839"/>
      <c r="I10" s="839"/>
      <c r="J10" s="839"/>
      <c r="K10" s="839"/>
      <c r="L10" s="839" t="s">
        <v>379</v>
      </c>
      <c r="M10" s="839"/>
      <c r="N10" s="839"/>
      <c r="O10" s="839"/>
      <c r="P10" s="839"/>
      <c r="Q10" s="832" t="s">
        <v>380</v>
      </c>
      <c r="R10" s="833"/>
      <c r="S10" s="833"/>
      <c r="T10" s="833"/>
      <c r="U10" s="834"/>
      <c r="V10" s="829"/>
      <c r="W10" s="830"/>
      <c r="X10" s="830"/>
      <c r="Y10" s="830"/>
      <c r="Z10" s="831"/>
      <c r="AA10" s="841"/>
      <c r="AB10" s="839"/>
      <c r="AC10" s="839"/>
    </row>
    <row r="11" spans="1:35" s="207" customFormat="1" ht="96" customHeight="1" x14ac:dyDescent="0.25">
      <c r="A11" s="840"/>
      <c r="B11" s="839"/>
      <c r="C11" s="839"/>
      <c r="D11" s="839"/>
      <c r="E11" s="839"/>
      <c r="F11" s="839"/>
      <c r="G11" s="659" t="s">
        <v>382</v>
      </c>
      <c r="H11" s="659" t="s">
        <v>560</v>
      </c>
      <c r="I11" s="659" t="s">
        <v>559</v>
      </c>
      <c r="J11" s="658" t="s">
        <v>419</v>
      </c>
      <c r="K11" s="660" t="s">
        <v>383</v>
      </c>
      <c r="L11" s="659" t="s">
        <v>382</v>
      </c>
      <c r="M11" s="659" t="s">
        <v>560</v>
      </c>
      <c r="N11" s="659" t="s">
        <v>559</v>
      </c>
      <c r="O11" s="658" t="s">
        <v>419</v>
      </c>
      <c r="P11" s="660" t="s">
        <v>383</v>
      </c>
      <c r="Q11" s="659" t="s">
        <v>382</v>
      </c>
      <c r="R11" s="659" t="s">
        <v>560</v>
      </c>
      <c r="S11" s="659" t="s">
        <v>559</v>
      </c>
      <c r="T11" s="658" t="s">
        <v>419</v>
      </c>
      <c r="U11" s="660" t="s">
        <v>383</v>
      </c>
      <c r="V11" s="659" t="s">
        <v>64</v>
      </c>
      <c r="W11" s="659" t="s">
        <v>562</v>
      </c>
      <c r="X11" s="659" t="s">
        <v>561</v>
      </c>
      <c r="Y11" s="659" t="s">
        <v>381</v>
      </c>
      <c r="Z11" s="659" t="s">
        <v>559</v>
      </c>
      <c r="AA11" s="841"/>
      <c r="AB11" s="839"/>
      <c r="AC11" s="839"/>
      <c r="AE11" s="523"/>
      <c r="AG11" s="523"/>
    </row>
    <row r="12" spans="1:35" s="207" customFormat="1" ht="26.25" customHeight="1" x14ac:dyDescent="0.25">
      <c r="A12" s="840" t="s">
        <v>386</v>
      </c>
      <c r="B12" s="840"/>
      <c r="C12" s="840"/>
      <c r="D12" s="840"/>
      <c r="E12" s="658">
        <f t="shared" ref="E12:U12" si="2">ROUND(SUM(E14:E114),2)</f>
        <v>0</v>
      </c>
      <c r="F12" s="658">
        <f t="shared" si="2"/>
        <v>0</v>
      </c>
      <c r="G12" s="659">
        <f>ROUND(SUM(G14:G114),2)</f>
        <v>0</v>
      </c>
      <c r="H12" s="659">
        <f>ROUND(SUM(H14:H114),2)</f>
        <v>0</v>
      </c>
      <c r="I12" s="659">
        <f>ROUND(SUM(I14:I113)+SUMIF($H$14:$H$113,"&lt;0"),2)</f>
        <v>0</v>
      </c>
      <c r="J12" s="658">
        <f t="shared" si="2"/>
        <v>0</v>
      </c>
      <c r="K12" s="660">
        <f t="shared" si="2"/>
        <v>0</v>
      </c>
      <c r="L12" s="659">
        <f>ROUND(SUM(L14:L114),2)</f>
        <v>0</v>
      </c>
      <c r="M12" s="659">
        <f>ROUND(SUM(M14:M114),2)</f>
        <v>0</v>
      </c>
      <c r="N12" s="659">
        <f>ROUND(SUM(N14:N114)+SUMIF($M$14:$M$113,"&lt;0"),2)</f>
        <v>0</v>
      </c>
      <c r="O12" s="658">
        <f t="shared" si="2"/>
        <v>0</v>
      </c>
      <c r="P12" s="660">
        <f t="shared" si="2"/>
        <v>0</v>
      </c>
      <c r="Q12" s="659">
        <f>ROUND(SUM(Q14:Q114),2)</f>
        <v>0</v>
      </c>
      <c r="R12" s="659">
        <f>ROUND(SUM(R14:R114),2)</f>
        <v>0</v>
      </c>
      <c r="S12" s="659">
        <f>ROUND(SUM(S14:S114)+SUMIF($R$14:$R$113,"&lt;0"),2)</f>
        <v>0</v>
      </c>
      <c r="T12" s="658">
        <f t="shared" si="2"/>
        <v>0</v>
      </c>
      <c r="U12" s="660">
        <f t="shared" si="2"/>
        <v>0</v>
      </c>
      <c r="V12" s="659">
        <f>ROUND(SUM(V14:V114),2)</f>
        <v>0</v>
      </c>
      <c r="W12" s="659">
        <f>ROUND(SUM(W14:W114),2)</f>
        <v>0</v>
      </c>
      <c r="X12" s="659">
        <f>ROUND(SUM(X14:X114),2)</f>
        <v>0</v>
      </c>
      <c r="Y12" s="659" t="str">
        <f>IFERROR(ROUND(IF(Распределение!P10&lt;0,Распределение!P10/1.302,IF(Распределение!P10&lt;(Титул!B13*5%),Распределение!P10/1.302,Распределение!P10*0.7/1.302)),2),"0,00")</f>
        <v>0,00</v>
      </c>
      <c r="Z12" s="659">
        <f>ROUND(SUM(Z14:Z114),2)</f>
        <v>0</v>
      </c>
      <c r="AA12" s="660">
        <f>ROUND(SUM(AA14:AA114),2)</f>
        <v>0</v>
      </c>
      <c r="AB12" s="658">
        <f>ROUND(SUM(AB14:AB114),2)</f>
        <v>0</v>
      </c>
      <c r="AC12" s="658">
        <f>ROUND(SUM(AC14:AC114),2)</f>
        <v>0</v>
      </c>
      <c r="AD12" s="311"/>
      <c r="AE12" s="523"/>
      <c r="AF12" s="523"/>
      <c r="AG12" s="523"/>
      <c r="AH12" s="668"/>
      <c r="AI12" s="668"/>
    </row>
    <row r="13" spans="1:35" s="207" customFormat="1" ht="27.75" customHeight="1" x14ac:dyDescent="0.25">
      <c r="A13" s="838" t="s">
        <v>420</v>
      </c>
      <c r="B13" s="838"/>
      <c r="C13" s="838"/>
      <c r="D13" s="838"/>
      <c r="E13" s="838"/>
      <c r="F13" s="838"/>
      <c r="G13" s="518"/>
      <c r="H13" s="518"/>
      <c r="I13" s="518"/>
      <c r="J13" s="518"/>
      <c r="K13" s="518">
        <f>G12-J12</f>
        <v>0</v>
      </c>
      <c r="L13" s="518"/>
      <c r="M13" s="518"/>
      <c r="N13" s="518"/>
      <c r="O13" s="518"/>
      <c r="P13" s="518">
        <f>L12-O12</f>
        <v>0</v>
      </c>
      <c r="Q13" s="518"/>
      <c r="R13" s="518"/>
      <c r="S13" s="518"/>
      <c r="T13" s="518"/>
      <c r="U13" s="518">
        <f>Q12-T12</f>
        <v>0</v>
      </c>
      <c r="V13" s="518"/>
      <c r="W13" s="518"/>
      <c r="X13" s="518"/>
      <c r="Y13" s="518"/>
      <c r="Z13" s="518"/>
      <c r="AA13" s="518">
        <f>V12</f>
        <v>0</v>
      </c>
      <c r="AB13" s="518"/>
      <c r="AC13" s="518"/>
      <c r="AD13" s="311"/>
      <c r="AF13" s="668"/>
    </row>
    <row r="14" spans="1:35" x14ac:dyDescent="0.25">
      <c r="A14" s="247">
        <v>1</v>
      </c>
      <c r="B14" s="602">
        <f>'Состав ВТК'!$B9</f>
        <v>0</v>
      </c>
      <c r="C14" s="310" t="str">
        <f>IFERROR(VLOOKUP($B14,'Состав ВТК'!$B$9:$I$108,7,FALSE),"-")</f>
        <v>-</v>
      </c>
      <c r="D14" s="310" t="str">
        <f>IFERROR(VLOOKUP($B14,'Состав ВТК'!$B$9:$I$108,8,FALSE),"-")</f>
        <v>-</v>
      </c>
      <c r="E14" s="310">
        <f>ROUND(IF($B14='Расчет участников НИР'!$A16,'Расчет участников НИР'!$M16),2)</f>
        <v>0</v>
      </c>
      <c r="F14" s="310">
        <f>ROUND('Расчет участников НИР'!$H16*50%-$E14,2)</f>
        <v>0</v>
      </c>
      <c r="G14" s="310" t="str">
        <f>IFERROR(ROUND(IF(H14&lt;0,0,H14+($I$12/($H$12-SUMIF($H$14:$H$113,"&lt;0"))*H14)),2),"0,00")</f>
        <v>0,00</v>
      </c>
      <c r="H14" s="310">
        <f>IFERROR(ROUND(IF('Состав ВТК'!P9="",IF(AND('Состав ВТК'!M9&gt;=Выплаты!$G$8,'Состав ВТК'!L9&lt;=Выплаты!$G$8),ROUND(IF('счеталка премий'!H6&lt;0,0,('Расчет участников НИР'!$H16*'счеталка премий'!O6)),2),0),IF(AND('Состав ВТК'!Q9&gt;=Выплаты!$G$8,'Состав ВТК'!P9&lt;=Выплаты!$G$8),ROUND(IF('счеталка премий'!H6&lt;0,0,('Расчет участников НИР'!$H16*'счеталка премий'!O6)),2),0)),2),0)</f>
        <v>0</v>
      </c>
      <c r="I14" s="310">
        <f>IFERROR(ROUND(IF(H14=0,ROUND(('Расчет участников НИР'!$H16*'счеталка премий'!O6),2)-H14,0),2),0)</f>
        <v>0</v>
      </c>
      <c r="J14" s="310">
        <f>ROUND(G14*0.5,2)</f>
        <v>0</v>
      </c>
      <c r="K14" s="306"/>
      <c r="L14" s="310" t="str">
        <f>IFERROR(ROUND(IF(M14&lt;0,0,M14+($N$12/($M$12-SUMIF($M$14:$M$113,"&lt;0"))*M14)),2),"0,00")</f>
        <v>0,00</v>
      </c>
      <c r="M14" s="310">
        <f>IFERROR(ROUND(IF('Состав ВТК'!P9="",IF(AND('Состав ВТК'!M9&gt;=Выплаты!$L$8,'Состав ВТК'!L9&lt;=Выплаты!$L$8),ROUND(IF('счеталка премий'!I6&lt;0,0,('Расчет участников НИР'!$H16*'счеталка премий'!P6)),2),0),IF(AND('Состав ВТК'!Q9&gt;=Выплаты!$L$8,'Состав ВТК'!P9&lt;=Выплаты!$L$8),ROUND(IF('счеталка премий'!I6&lt;0,0,('Расчет участников НИР'!$H16*'счеталка премий'!P6)),2),0)),2),0)</f>
        <v>0</v>
      </c>
      <c r="N14" s="310">
        <f>IFERROR(ROUND(IF(M14=0,ROUND(('Расчет участников НИР'!$H16*'счеталка премий'!P6),2)-M14,0),2),0)</f>
        <v>0</v>
      </c>
      <c r="O14" s="310">
        <f>ROUND(L14*0.5,2)</f>
        <v>0</v>
      </c>
      <c r="P14" s="306"/>
      <c r="Q14" s="310" t="str">
        <f>IFERROR(ROUND(IF(R14&lt;0,0,R14+($S$12/($R$12-SUMIF($R$14:$R$113,"&lt;0"))*R14)),2),"0,00")</f>
        <v>0,00</v>
      </c>
      <c r="R14" s="310">
        <f>IFERROR(ROUND(IF('Состав ВТК'!P9="",IF(AND('Состав ВТК'!M9&gt;=Выплаты!$Q$8,'Состав ВТК'!L9&lt;=Выплаты!$Q$8),ROUND(IF('счеталка премий'!J6&lt;0,0,('Расчет участников НИР'!$H16*'счеталка премий'!Q6)),2),0),IF(AND('Состав ВТК'!Q9&gt;=Выплаты!$Q$8,'Состав ВТК'!P9&lt;=Выплаты!$Q$8),ROUND(IF('счеталка премий'!J6&lt;0,0,('Расчет участников НИР'!$H16*'счеталка премий'!Q6)),2),0)),2),0)</f>
        <v>0</v>
      </c>
      <c r="S14" s="310">
        <f>IFERROR(ROUND(IF(R14=0,ROUND(('Расчет участников НИР'!$H16*'счеталка премий'!Q6),2)-R14,0),2),0)</f>
        <v>0</v>
      </c>
      <c r="T14" s="310">
        <f t="shared" ref="T14:T45" si="3">ROUND(Q14*0.5,2)</f>
        <v>0</v>
      </c>
      <c r="U14" s="306"/>
      <c r="V14" s="310">
        <f>W14+Y14</f>
        <v>0</v>
      </c>
      <c r="W14" s="310" t="str">
        <f>IFERROR(ROUND(IF(X14&lt;0,0,X14+(($Z$12+SUMIF($X$14:$X$113,"&lt;0"))/($X$12-SUMIF($X$14:$X$113,"&lt;0"))*X14)),2),"0,00")</f>
        <v>0,00</v>
      </c>
      <c r="X14" s="310">
        <f>IFERROR(ROUND(IF('Состав ВТК'!P9="",IF('Состав ВТК'!M9&gt;=Выплаты!$V$8,ROUND(IF('счеталка премий'!K6&lt;0,0,'Расчет участников НИР'!$H16*'счеталка премий'!R6),2),0),IF('Состав ВТК'!Q9&gt;=Выплаты!$V$8,ROUND(IF('счеталка премий'!K6&lt;0,0,'Расчет участников НИР'!$H16*'счеталка премий'!R6),2),0)),2),0)</f>
        <v>0</v>
      </c>
      <c r="Y14" s="310">
        <f>IFERROR(ROUND(IF(OR(IF('Состав ВТК'!L9="",AND('Состав ВТК'!Q9&lt;=Выплаты!$V$8,'Состав ВТК'!P9&lt;Выплаты!$V$8),AND('Состав ВТК'!M9&lt;=Выплаты!$V$8,'Состав ВТК'!$K9=справочник!$A$5)),W14=0),0,$Y$12/(Распределение!$N$11-SUMIF($W$14:$W$114,0,Распределение!$N$13:$N$125))*Распределение!N13),2),"0,00")</f>
        <v>0</v>
      </c>
      <c r="Z14" s="310">
        <f>IFERROR(ROUND(IF(X14=0,ROUND(('Расчет участников НИР'!$H16*'счеталка премий'!R6),2)-X14,0),2),0)</f>
        <v>0</v>
      </c>
      <c r="AA14" s="306"/>
      <c r="AB14" s="309">
        <f>ROUND(E14+F14+G14+L14+Q14+V14,2)</f>
        <v>0</v>
      </c>
      <c r="AC14" s="309">
        <f t="shared" ref="AC14:AC45" si="4">ROUND(E14+F14+J14+K14+O14+P14+T14+U14+AA14,2)</f>
        <v>0</v>
      </c>
      <c r="AD14" s="311"/>
      <c r="AE14" s="308"/>
      <c r="AF14" s="523"/>
      <c r="AG14" s="413"/>
      <c r="AH14" s="686"/>
    </row>
    <row r="15" spans="1:35" x14ac:dyDescent="0.25">
      <c r="A15" s="247">
        <v>2</v>
      </c>
      <c r="B15" s="602">
        <f>'Состав ВТК'!$B10</f>
        <v>0</v>
      </c>
      <c r="C15" s="310" t="str">
        <f>IFERROR(VLOOKUP($B15,'Состав ВТК'!$B$9:$I$108,7,FALSE),"-")</f>
        <v>-</v>
      </c>
      <c r="D15" s="310" t="str">
        <f>IFERROR(VLOOKUP($B15,'Состав ВТК'!$B$9:$I$108,8,FALSE),"-")</f>
        <v>-</v>
      </c>
      <c r="E15" s="310">
        <f>ROUND(IF($B15='Расчет участников НИР'!$A17,'Расчет участников НИР'!$M17),2)</f>
        <v>0</v>
      </c>
      <c r="F15" s="310">
        <f>ROUND('Расчет участников НИР'!$H17*50%-$E15,2)</f>
        <v>0</v>
      </c>
      <c r="G15" s="310" t="str">
        <f t="shared" ref="G15:G78" si="5">IFERROR(ROUND(IF(H15&lt;0,0,H15+($I$12/($H$12-SUMIF($H$14:$H$113,"&lt;0"))*H15)),2),"0,00")</f>
        <v>0,00</v>
      </c>
      <c r="H15" s="310">
        <f>IFERROR(ROUND(IF('Состав ВТК'!P10="",IF(AND('Состав ВТК'!M10&gt;=Выплаты!$G$8,'Состав ВТК'!L10&lt;=Выплаты!$G$8),ROUND(IF('счеталка премий'!H7&lt;0,0,('Расчет участников НИР'!$H17*'счеталка премий'!O7)),2),0),IF(AND('Состав ВТК'!Q10&gt;=Выплаты!$G$8,'Состав ВТК'!P10&lt;=Выплаты!$G$8),ROUND(IF('счеталка премий'!H7&lt;0,0,('Расчет участников НИР'!$H17*'счеталка премий'!O7)),2),0)),2),0)</f>
        <v>0</v>
      </c>
      <c r="I15" s="310">
        <f>IFERROR(ROUND(IF(H15=0,ROUND(('Расчет участников НИР'!$H17*'счеталка премий'!O7),2)-H15,0),2),0)</f>
        <v>0</v>
      </c>
      <c r="J15" s="310">
        <f t="shared" ref="J15:J78" si="6">ROUND(G15*0.5,2)</f>
        <v>0</v>
      </c>
      <c r="K15" s="306"/>
      <c r="L15" s="310" t="str">
        <f t="shared" ref="L15:L78" si="7">IFERROR(ROUND(IF(M15&lt;0,0,M15+($N$12/($M$12-SUMIF($M$14:$M$113,"&lt;0"))*M15)),2),"0,00")</f>
        <v>0,00</v>
      </c>
      <c r="M15" s="310">
        <f>IFERROR(ROUND(IF('Состав ВТК'!P10="",IF(AND('Состав ВТК'!M10&gt;=Выплаты!$L$8,'Состав ВТК'!L10&lt;=Выплаты!$L$8),ROUND(IF('счеталка премий'!I7&lt;0,0,('Расчет участников НИР'!$H17*'счеталка премий'!P7)),2),0),IF(AND('Состав ВТК'!Q10&gt;=Выплаты!$L$8,'Состав ВТК'!P10&lt;=Выплаты!$L$8),ROUND(IF('счеталка премий'!I7&lt;0,0,('Расчет участников НИР'!$H17*'счеталка премий'!P7)),2),0)),2),0)</f>
        <v>0</v>
      </c>
      <c r="N15" s="310">
        <f>IFERROR(ROUND(IF(M15=0,ROUND(('Расчет участников НИР'!$H17*'счеталка премий'!P7),2)-M15,0),2),0)</f>
        <v>0</v>
      </c>
      <c r="O15" s="310">
        <f t="shared" ref="O15:O45" si="8">ROUND(L15*0.5,2)</f>
        <v>0</v>
      </c>
      <c r="P15" s="306"/>
      <c r="Q15" s="310" t="str">
        <f t="shared" ref="Q15:Q78" si="9">IFERROR(ROUND(IF(R15&lt;0,0,R15+($S$12/($R$12-SUMIF($R$14:$R$113,"&lt;0"))*R15)),2),"0,00")</f>
        <v>0,00</v>
      </c>
      <c r="R15" s="310">
        <f>IFERROR(ROUND(IF('Состав ВТК'!P10="",IF(AND('Состав ВТК'!M10&gt;=Выплаты!$Q$8,'Состав ВТК'!L10&lt;=Выплаты!$Q$8),ROUND(IF('счеталка премий'!J7&lt;0,0,('Расчет участников НИР'!$H17*'счеталка премий'!Q7)),2),0),IF(AND('Состав ВТК'!Q10&gt;=Выплаты!$Q$8,'Состав ВТК'!P10&lt;=Выплаты!$Q$8),ROUND(IF('счеталка премий'!J7&lt;0,0,('Расчет участников НИР'!$H17*'счеталка премий'!Q7)),2),0)),2),0)</f>
        <v>0</v>
      </c>
      <c r="S15" s="310">
        <f>IFERROR(ROUND(IF(R15=0,ROUND(('Расчет участников НИР'!$H17*'счеталка премий'!Q7),2)-R15,0),2),0)</f>
        <v>0</v>
      </c>
      <c r="T15" s="310">
        <f t="shared" si="3"/>
        <v>0</v>
      </c>
      <c r="U15" s="306"/>
      <c r="V15" s="310">
        <f>W15+Y15</f>
        <v>0</v>
      </c>
      <c r="W15" s="310" t="str">
        <f>IFERROR(ROUND(IF(X15&lt;0,0,X15+(($Z$12+SUMIF($X$14:$X$113,"&lt;0"))/($X$12-SUMIF($X$14:$X$113,"&lt;0"))*X15)),2),"0,00")</f>
        <v>0,00</v>
      </c>
      <c r="X15" s="310">
        <f>IFERROR(ROUND(IF('Состав ВТК'!P10="",IF('Состав ВТК'!M10&gt;=Выплаты!$V$8,ROUND(IF('счеталка премий'!K7&lt;0,0,'Расчет участников НИР'!$H17*'счеталка премий'!R7),2),0),IF('Состав ВТК'!Q10&gt;=Выплаты!$V$8,ROUND(IF('счеталка премий'!K7&lt;0,0,'Расчет участников НИР'!$H17*'счеталка премий'!R7),2),0)),2),0)</f>
        <v>0</v>
      </c>
      <c r="Y15" s="310">
        <f>IFERROR(ROUND(IF(OR(IF('Состав ВТК'!L10="",AND('Состав ВТК'!Q10&lt;=Выплаты!$V$8,'Состав ВТК'!P10&lt;Выплаты!$V$8),AND('Состав ВТК'!M10&lt;=Выплаты!$V$8,'Состав ВТК'!$K10=справочник!$A$5)),W15=0),0,$Y$12/(Распределение!$N$11-SUMIF($W$14:$W$114,0,Распределение!$N$13:$N$125))*Распределение!N14),2),"0,00")</f>
        <v>0</v>
      </c>
      <c r="Z15" s="310">
        <f>IFERROR(ROUND(IF(X15=0,ROUND(('Расчет участников НИР'!$H17*'счеталка премий'!R7),2)-X15,0),2),0)</f>
        <v>0</v>
      </c>
      <c r="AA15" s="306"/>
      <c r="AB15" s="309">
        <f>ROUND(E15+F15+G15+L15+Q15+V15,2)</f>
        <v>0</v>
      </c>
      <c r="AC15" s="309">
        <f t="shared" si="4"/>
        <v>0</v>
      </c>
      <c r="AD15" s="311"/>
      <c r="AE15" s="308"/>
      <c r="AF15" s="523"/>
      <c r="AH15" s="686"/>
    </row>
    <row r="16" spans="1:35" x14ac:dyDescent="0.25">
      <c r="A16" s="247">
        <v>3</v>
      </c>
      <c r="B16" s="602">
        <f>'Состав ВТК'!$B11</f>
        <v>0</v>
      </c>
      <c r="C16" s="310" t="str">
        <f>IFERROR(VLOOKUP($B16,'Состав ВТК'!$B$9:$I$108,7,FALSE),"-")</f>
        <v>-</v>
      </c>
      <c r="D16" s="310" t="str">
        <f>IFERROR(VLOOKUP($B16,'Состав ВТК'!$B$9:$I$108,8,FALSE),"-")</f>
        <v>-</v>
      </c>
      <c r="E16" s="310">
        <f>ROUND(IF($B16='Расчет участников НИР'!$A18,'Расчет участников НИР'!$M18),2)</f>
        <v>0</v>
      </c>
      <c r="F16" s="310">
        <f>ROUND('Расчет участников НИР'!$H18*50%-$E16,2)</f>
        <v>0</v>
      </c>
      <c r="G16" s="310" t="str">
        <f t="shared" si="5"/>
        <v>0,00</v>
      </c>
      <c r="H16" s="310">
        <f>IFERROR(ROUND(IF('Состав ВТК'!P11="",IF(AND('Состав ВТК'!M11&gt;=Выплаты!$G$8,'Состав ВТК'!L11&lt;=Выплаты!$G$8),ROUND(IF('счеталка премий'!H8&lt;0,0,('Расчет участников НИР'!$H18*'счеталка премий'!O8)),2),0),IF(AND('Состав ВТК'!Q11&gt;=Выплаты!$G$8,'Состав ВТК'!P11&lt;=Выплаты!$G$8),ROUND(IF('счеталка премий'!H8&lt;0,0,('Расчет участников НИР'!$H18*'счеталка премий'!O8)),2),0)),2),0)</f>
        <v>0</v>
      </c>
      <c r="I16" s="310">
        <f>IFERROR(ROUND(IF(H16=0,ROUND(('Расчет участников НИР'!$H18*'счеталка премий'!O8),2)-H16,0),2),0)</f>
        <v>0</v>
      </c>
      <c r="J16" s="310">
        <f t="shared" si="6"/>
        <v>0</v>
      </c>
      <c r="K16" s="306"/>
      <c r="L16" s="310" t="str">
        <f t="shared" si="7"/>
        <v>0,00</v>
      </c>
      <c r="M16" s="310">
        <f>IFERROR(ROUND(IF('Состав ВТК'!P11="",IF(AND('Состав ВТК'!M11&gt;=Выплаты!$L$8,'Состав ВТК'!L11&lt;=Выплаты!$L$8),ROUND(IF('счеталка премий'!I8&lt;0,0,('Расчет участников НИР'!$H18*'счеталка премий'!P8)),2),0),IF(AND('Состав ВТК'!Q11&gt;=Выплаты!$L$8,'Состав ВТК'!P11&lt;=Выплаты!$L$8),ROUND(IF('счеталка премий'!I8&lt;0,0,('Расчет участников НИР'!$H18*'счеталка премий'!P8)),2),0)),2),0)</f>
        <v>0</v>
      </c>
      <c r="N16" s="310">
        <f>IFERROR(ROUND(IF(M16=0,ROUND(('Расчет участников НИР'!$H18*'счеталка премий'!P8),2)-M16,0),2),0)</f>
        <v>0</v>
      </c>
      <c r="O16" s="310">
        <f t="shared" si="8"/>
        <v>0</v>
      </c>
      <c r="P16" s="306"/>
      <c r="Q16" s="310" t="str">
        <f t="shared" si="9"/>
        <v>0,00</v>
      </c>
      <c r="R16" s="310">
        <f>IFERROR(ROUND(IF('Состав ВТК'!P11="",IF(AND('Состав ВТК'!M11&gt;=Выплаты!$Q$8,'Состав ВТК'!L11&lt;=Выплаты!$Q$8),ROUND(IF('счеталка премий'!J8&lt;0,0,('Расчет участников НИР'!$H18*'счеталка премий'!Q8)),2),0),IF(AND('Состав ВТК'!Q11&gt;=Выплаты!$Q$8,'Состав ВТК'!P11&lt;=Выплаты!$Q$8),ROUND(IF('счеталка премий'!J8&lt;0,0,('Расчет участников НИР'!$H18*'счеталка премий'!Q8)),2),0)),2),0)</f>
        <v>0</v>
      </c>
      <c r="S16" s="310">
        <f>IFERROR(ROUND(IF(R16=0,ROUND(('Расчет участников НИР'!$H18*'счеталка премий'!Q8),2)-R16,0),2),0)</f>
        <v>0</v>
      </c>
      <c r="T16" s="310">
        <f t="shared" si="3"/>
        <v>0</v>
      </c>
      <c r="U16" s="306"/>
      <c r="V16" s="310">
        <f t="shared" ref="V16:V78" si="10">W16+Y16</f>
        <v>0</v>
      </c>
      <c r="W16" s="310" t="str">
        <f t="shared" ref="W16:W78" si="11">IFERROR(ROUND(IF(X16&lt;0,0,X16+(($Z$12+SUMIF($X$14:$X$113,"&lt;0"))/($X$12-SUMIF($X$14:$X$113,"&lt;0"))*X16)),2),"0,00")</f>
        <v>0,00</v>
      </c>
      <c r="X16" s="310">
        <f>IFERROR(ROUND(IF('Состав ВТК'!P11="",IF('Состав ВТК'!M11&gt;=Выплаты!$V$8,ROUND(IF('счеталка премий'!K8&lt;0,0,'Расчет участников НИР'!$H18*'счеталка премий'!R8),2),0),IF('Состав ВТК'!Q11&gt;=Выплаты!$V$8,ROUND(IF('счеталка премий'!K8&lt;0,0,'Расчет участников НИР'!$H18*'счеталка премий'!R8),2),0)),2),0)</f>
        <v>0</v>
      </c>
      <c r="Y16" s="310">
        <f>IFERROR(ROUND(IF(OR(IF('Состав ВТК'!L11="",AND('Состав ВТК'!Q11&lt;=Выплаты!$V$8,'Состав ВТК'!P11&lt;Выплаты!$V$8),AND('Состав ВТК'!M11&lt;=Выплаты!$V$8,'Состав ВТК'!$K11=справочник!$A$5)),W16=0),0,$Y$12/(Распределение!$N$11-SUMIF($W$14:$W$114,0,Распределение!$N$13:$N$125))*Распределение!N15),2),"0,00")</f>
        <v>0</v>
      </c>
      <c r="Z16" s="310">
        <f>IFERROR(ROUND(IF(X16=0,ROUND(('Расчет участников НИР'!$H18*'счеталка премий'!R8),2)-X16,0),2),0)</f>
        <v>0</v>
      </c>
      <c r="AA16" s="306"/>
      <c r="AB16" s="309">
        <f t="shared" ref="AB16:AB78" si="12">ROUND(E16+F16+G16+L16+Q16+V16,2)</f>
        <v>0</v>
      </c>
      <c r="AC16" s="309">
        <f t="shared" si="4"/>
        <v>0</v>
      </c>
      <c r="AD16" s="311"/>
      <c r="AE16" s="308"/>
      <c r="AF16" s="523"/>
      <c r="AH16" s="686"/>
    </row>
    <row r="17" spans="1:34" x14ac:dyDescent="0.25">
      <c r="A17" s="247">
        <v>4</v>
      </c>
      <c r="B17" s="602">
        <f>'Состав ВТК'!$B12</f>
        <v>0</v>
      </c>
      <c r="C17" s="310" t="str">
        <f>IFERROR(VLOOKUP($B17,'Состав ВТК'!$B$9:$I$108,7,FALSE),"-")</f>
        <v>-</v>
      </c>
      <c r="D17" s="310" t="str">
        <f>IFERROR(VLOOKUP($B17,'Состав ВТК'!$B$9:$I$108,8,FALSE),"-")</f>
        <v>-</v>
      </c>
      <c r="E17" s="310">
        <f>ROUND(IF($B17='Расчет участников НИР'!$A19,'Расчет участников НИР'!$M19),2)</f>
        <v>0</v>
      </c>
      <c r="F17" s="310">
        <f>ROUND('Расчет участников НИР'!$H19*50%-$E17,2)</f>
        <v>0</v>
      </c>
      <c r="G17" s="310" t="str">
        <f t="shared" si="5"/>
        <v>0,00</v>
      </c>
      <c r="H17" s="310">
        <f>IFERROR(ROUND(IF('Состав ВТК'!P12="",IF(AND('Состав ВТК'!M12&gt;=Выплаты!$G$8,'Состав ВТК'!L12&lt;=Выплаты!$G$8),ROUND(IF('счеталка премий'!H9&lt;0,0,('Расчет участников НИР'!$H19*'счеталка премий'!O9)),2),0),IF(AND('Состав ВТК'!Q12&gt;=Выплаты!$G$8,'Состав ВТК'!P12&lt;=Выплаты!$G$8),ROUND(IF('счеталка премий'!H9&lt;0,0,('Расчет участников НИР'!$H19*'счеталка премий'!O9)),2),0)),2),0)</f>
        <v>0</v>
      </c>
      <c r="I17" s="310">
        <f>IFERROR(ROUND(IF(H17=0,ROUND(('Расчет участников НИР'!$H19*'счеталка премий'!O9),2)-H17,0),2),0)</f>
        <v>0</v>
      </c>
      <c r="J17" s="310">
        <f>ROUND(G17*0.5,2)</f>
        <v>0</v>
      </c>
      <c r="K17" s="306"/>
      <c r="L17" s="310" t="str">
        <f t="shared" si="7"/>
        <v>0,00</v>
      </c>
      <c r="M17" s="310">
        <f>IFERROR(ROUND(IF('Состав ВТК'!P12="",IF(AND('Состав ВТК'!M12&gt;=Выплаты!$L$8,'Состав ВТК'!L12&lt;=Выплаты!$L$8),ROUND(IF('счеталка премий'!I9&lt;0,0,('Расчет участников НИР'!$H19*'счеталка премий'!P9)),2),0),IF(AND('Состав ВТК'!Q12&gt;=Выплаты!$L$8,'Состав ВТК'!P12&lt;=Выплаты!$L$8),ROUND(IF('счеталка премий'!I9&lt;0,0,('Расчет участников НИР'!$H19*'счеталка премий'!P9)),2),0)),2),0)</f>
        <v>0</v>
      </c>
      <c r="N17" s="310">
        <f>IFERROR(ROUND(IF(M17=0,ROUND(('Расчет участников НИР'!$H19*'счеталка премий'!P9),2)-M17,0),2),0)</f>
        <v>0</v>
      </c>
      <c r="O17" s="310">
        <f t="shared" si="8"/>
        <v>0</v>
      </c>
      <c r="P17" s="306"/>
      <c r="Q17" s="310" t="str">
        <f t="shared" si="9"/>
        <v>0,00</v>
      </c>
      <c r="R17" s="310">
        <f>IFERROR(ROUND(IF('Состав ВТК'!P12="",IF(AND('Состав ВТК'!M12&gt;=Выплаты!$Q$8,'Состав ВТК'!L12&lt;=Выплаты!$Q$8),ROUND(IF('счеталка премий'!J9&lt;0,0,('Расчет участников НИР'!$H19*'счеталка премий'!Q9)),2),0),IF(AND('Состав ВТК'!Q12&gt;=Выплаты!$Q$8,'Состав ВТК'!P12&lt;=Выплаты!$Q$8),ROUND(IF('счеталка премий'!J9&lt;0,0,('Расчет участников НИР'!$H19*'счеталка премий'!Q9)),2),0)),2),0)</f>
        <v>0</v>
      </c>
      <c r="S17" s="310">
        <f>IFERROR(ROUND(IF(R17=0,ROUND(('Расчет участников НИР'!$H19*'счеталка премий'!Q9),2)-R17,0),2),0)</f>
        <v>0</v>
      </c>
      <c r="T17" s="310">
        <f t="shared" si="3"/>
        <v>0</v>
      </c>
      <c r="U17" s="306"/>
      <c r="V17" s="310">
        <f t="shared" si="10"/>
        <v>0</v>
      </c>
      <c r="W17" s="310" t="str">
        <f t="shared" si="11"/>
        <v>0,00</v>
      </c>
      <c r="X17" s="310">
        <f>IFERROR(ROUND(IF('Состав ВТК'!P12="",IF('Состав ВТК'!M12&gt;=Выплаты!$V$8,ROUND(IF('счеталка премий'!K9&lt;0,0,'Расчет участников НИР'!$H19*'счеталка премий'!R9),2),0),IF('Состав ВТК'!Q12&gt;=Выплаты!$V$8,ROUND(IF('счеталка премий'!K9&lt;0,0,'Расчет участников НИР'!$H19*'счеталка премий'!R9),2),0)),2),0)</f>
        <v>0</v>
      </c>
      <c r="Y17" s="310">
        <f>IFERROR(ROUND(IF(OR(IF('Состав ВТК'!L12="",AND('Состав ВТК'!Q12&lt;=Выплаты!$V$8,'Состав ВТК'!P12&lt;Выплаты!$V$8),AND('Состав ВТК'!M12&lt;=Выплаты!$V$8,'Состав ВТК'!$K12=справочник!$A$5)),W17=0),0,$Y$12/(Распределение!$N$11-SUMIF($W$14:$W$114,0,Распределение!$N$13:$N$125))*Распределение!N16),2),"0,00")</f>
        <v>0</v>
      </c>
      <c r="Z17" s="310">
        <f>IFERROR(ROUND(IF(X17=0,ROUND(('Расчет участников НИР'!$H19*'счеталка премий'!R9),2)-X17,0),2),0)</f>
        <v>0</v>
      </c>
      <c r="AA17" s="306"/>
      <c r="AB17" s="309">
        <f t="shared" si="12"/>
        <v>0</v>
      </c>
      <c r="AC17" s="309">
        <f t="shared" si="4"/>
        <v>0</v>
      </c>
      <c r="AD17" s="311"/>
      <c r="AE17" s="308"/>
      <c r="AF17" s="523"/>
      <c r="AH17" s="686"/>
    </row>
    <row r="18" spans="1:34" x14ac:dyDescent="0.25">
      <c r="A18" s="247">
        <v>5</v>
      </c>
      <c r="B18" s="602">
        <f>'Состав ВТК'!$B13</f>
        <v>0</v>
      </c>
      <c r="C18" s="310" t="str">
        <f>IFERROR(VLOOKUP($B18,'Состав ВТК'!$B$9:$I$108,7,FALSE),"-")</f>
        <v>-</v>
      </c>
      <c r="D18" s="310" t="str">
        <f>IFERROR(VLOOKUP($B18,'Состав ВТК'!$B$9:$I$108,8,FALSE),"-")</f>
        <v>-</v>
      </c>
      <c r="E18" s="310">
        <f>ROUND(IF($B18='Расчет участников НИР'!$A20,'Расчет участников НИР'!$M20),2)</f>
        <v>0</v>
      </c>
      <c r="F18" s="310">
        <f>ROUND('Расчет участников НИР'!$H20*50%-$E18,2)</f>
        <v>0</v>
      </c>
      <c r="G18" s="310" t="str">
        <f t="shared" si="5"/>
        <v>0,00</v>
      </c>
      <c r="H18" s="310">
        <f>IFERROR(ROUND(IF('Состав ВТК'!P13="",IF(AND('Состав ВТК'!M13&gt;=Выплаты!$G$8,'Состав ВТК'!L13&lt;=Выплаты!$G$8),ROUND(IF('счеталка премий'!H10&lt;0,0,('Расчет участников НИР'!$H20*'счеталка премий'!O10)),2),0),IF(AND('Состав ВТК'!Q13&gt;=Выплаты!$G$8,'Состав ВТК'!P13&lt;=Выплаты!$G$8),ROUND(IF('счеталка премий'!H10&lt;0,0,('Расчет участников НИР'!$H20*'счеталка премий'!O10)),2),0)),2),0)</f>
        <v>0</v>
      </c>
      <c r="I18" s="310">
        <f>IFERROR(ROUND(IF(H18=0,ROUND(('Расчет участников НИР'!$H20*'счеталка премий'!O10),2)-H18,0),2),0)</f>
        <v>0</v>
      </c>
      <c r="J18" s="310">
        <f t="shared" si="6"/>
        <v>0</v>
      </c>
      <c r="K18" s="306"/>
      <c r="L18" s="310" t="str">
        <f t="shared" si="7"/>
        <v>0,00</v>
      </c>
      <c r="M18" s="310">
        <f>IFERROR(ROUND(IF('Состав ВТК'!P13="",IF(AND('Состав ВТК'!M13&gt;=Выплаты!$L$8,'Состав ВТК'!L13&lt;=Выплаты!$L$8),ROUND(IF('счеталка премий'!I10&lt;0,0,('Расчет участников НИР'!$H20*'счеталка премий'!P10)),2),0),IF(AND('Состав ВТК'!Q13&gt;=Выплаты!$L$8,'Состав ВТК'!P13&lt;=Выплаты!$L$8),ROUND(IF('счеталка премий'!I10&lt;0,0,('Расчет участников НИР'!$H20*'счеталка премий'!P10)),2),0)),2),0)</f>
        <v>0</v>
      </c>
      <c r="N18" s="310">
        <f>IFERROR(ROUND(IF(M18=0,ROUND(('Расчет участников НИР'!$H20*'счеталка премий'!P10),2)-M18,0),2),0)</f>
        <v>0</v>
      </c>
      <c r="O18" s="310">
        <f t="shared" si="8"/>
        <v>0</v>
      </c>
      <c r="P18" s="306"/>
      <c r="Q18" s="310" t="str">
        <f t="shared" si="9"/>
        <v>0,00</v>
      </c>
      <c r="R18" s="310">
        <f>IFERROR(ROUND(IF('Состав ВТК'!P13="",IF(AND('Состав ВТК'!M13&gt;=Выплаты!$Q$8,'Состав ВТК'!L13&lt;=Выплаты!$Q$8),ROUND(IF('счеталка премий'!J10&lt;0,0,('Расчет участников НИР'!$H20*'счеталка премий'!Q10)),2),0),IF(AND('Состав ВТК'!Q13&gt;=Выплаты!$Q$8,'Состав ВТК'!P13&lt;=Выплаты!$Q$8),ROUND(IF('счеталка премий'!J10&lt;0,0,('Расчет участников НИР'!$H20*'счеталка премий'!Q10)),2),0)),2),0)</f>
        <v>0</v>
      </c>
      <c r="S18" s="310">
        <f>IFERROR(ROUND(IF(R18=0,ROUND(('Расчет участников НИР'!$H20*'счеталка премий'!Q10),2)-R18,0),2),0)</f>
        <v>0</v>
      </c>
      <c r="T18" s="310">
        <f t="shared" si="3"/>
        <v>0</v>
      </c>
      <c r="U18" s="306"/>
      <c r="V18" s="310">
        <f t="shared" si="10"/>
        <v>0</v>
      </c>
      <c r="W18" s="310" t="str">
        <f t="shared" si="11"/>
        <v>0,00</v>
      </c>
      <c r="X18" s="310">
        <f>IFERROR(ROUND(IF('Состав ВТК'!P13="",IF('Состав ВТК'!M13&gt;=Выплаты!$V$8,ROUND(IF('счеталка премий'!K10&lt;0,0,'Расчет участников НИР'!$H20*'счеталка премий'!R10),2),0),IF('Состав ВТК'!Q13&gt;=Выплаты!$V$8,ROUND(IF('счеталка премий'!K10&lt;0,0,'Расчет участников НИР'!$H20*'счеталка премий'!R10),2),0)),2),0)</f>
        <v>0</v>
      </c>
      <c r="Y18" s="310">
        <f>IFERROR(ROUND(IF(OR(IF('Состав ВТК'!L13="",AND('Состав ВТК'!Q13&lt;=Выплаты!$V$8,'Состав ВТК'!P13&lt;Выплаты!$V$8),AND('Состав ВТК'!M13&lt;=Выплаты!$V$8,'Состав ВТК'!$K13=справочник!$A$5)),W18=0),0,$Y$12/(Распределение!$N$11-SUMIF($W$14:$W$114,0,Распределение!$N$13:$N$125))*Распределение!N17),2),"0,00")</f>
        <v>0</v>
      </c>
      <c r="Z18" s="310">
        <f>IFERROR(ROUND(IF(X18=0,ROUND(('Расчет участников НИР'!$H20*'счеталка премий'!R10),2)-X18,0),2),0)</f>
        <v>0</v>
      </c>
      <c r="AA18" s="306"/>
      <c r="AB18" s="309">
        <f t="shared" si="12"/>
        <v>0</v>
      </c>
      <c r="AC18" s="309">
        <f t="shared" si="4"/>
        <v>0</v>
      </c>
      <c r="AD18" s="311"/>
      <c r="AE18" s="308"/>
      <c r="AF18" s="523"/>
      <c r="AH18" s="686"/>
    </row>
    <row r="19" spans="1:34" x14ac:dyDescent="0.25">
      <c r="A19" s="247">
        <v>6</v>
      </c>
      <c r="B19" s="602">
        <f>'Состав ВТК'!$B14</f>
        <v>0</v>
      </c>
      <c r="C19" s="310" t="str">
        <f>IFERROR(VLOOKUP($B19,'Состав ВТК'!$B$9:$I$108,7,FALSE),"-")</f>
        <v>-</v>
      </c>
      <c r="D19" s="310" t="str">
        <f>IFERROR(VLOOKUP($B19,'Состав ВТК'!$B$9:$I$108,8,FALSE),"-")</f>
        <v>-</v>
      </c>
      <c r="E19" s="310">
        <f>ROUND(IF($B19='Расчет участников НИР'!$A21,'Расчет участников НИР'!$M21),2)</f>
        <v>0</v>
      </c>
      <c r="F19" s="310">
        <f>ROUND('Расчет участников НИР'!$H21*50%-$E19,2)</f>
        <v>0</v>
      </c>
      <c r="G19" s="310" t="str">
        <f t="shared" si="5"/>
        <v>0,00</v>
      </c>
      <c r="H19" s="310">
        <f>IFERROR(ROUND(IF('Состав ВТК'!P14="",IF(AND('Состав ВТК'!M14&gt;=Выплаты!$G$8,'Состав ВТК'!L14&lt;=Выплаты!$G$8),ROUND(IF('счеталка премий'!H11&lt;0,0,('Расчет участников НИР'!$H21*'счеталка премий'!O11)),2),0),IF(AND('Состав ВТК'!Q14&gt;=Выплаты!$G$8,'Состав ВТК'!P14&lt;=Выплаты!$G$8),ROUND(IF('счеталка премий'!H11&lt;0,0,('Расчет участников НИР'!$H21*'счеталка премий'!O11)),2),0)),2),0)</f>
        <v>0</v>
      </c>
      <c r="I19" s="310">
        <f>IFERROR(ROUND(IF(H19=0,ROUND(('Расчет участников НИР'!$H21*'счеталка премий'!O11),2)-H19,0),2),0)</f>
        <v>0</v>
      </c>
      <c r="J19" s="310">
        <f t="shared" si="6"/>
        <v>0</v>
      </c>
      <c r="K19" s="306"/>
      <c r="L19" s="310" t="str">
        <f t="shared" si="7"/>
        <v>0,00</v>
      </c>
      <c r="M19" s="310">
        <f>IFERROR(ROUND(IF('Состав ВТК'!P14="",IF(AND('Состав ВТК'!M14&gt;=Выплаты!$L$8,'Состав ВТК'!L14&lt;=Выплаты!$L$8),ROUND(IF('счеталка премий'!I11&lt;0,0,('Расчет участников НИР'!$H21*'счеталка премий'!P11)),2),0),IF(AND('Состав ВТК'!Q14&gt;=Выплаты!$L$8,'Состав ВТК'!P14&lt;=Выплаты!$L$8),ROUND(IF('счеталка премий'!I11&lt;0,0,('Расчет участников НИР'!$H21*'счеталка премий'!P11)),2),0)),2),0)</f>
        <v>0</v>
      </c>
      <c r="N19" s="310">
        <f>IFERROR(ROUND(IF(M19=0,ROUND(('Расчет участников НИР'!$H21*'счеталка премий'!P11),2)-M19,0),2),0)</f>
        <v>0</v>
      </c>
      <c r="O19" s="310">
        <f t="shared" si="8"/>
        <v>0</v>
      </c>
      <c r="P19" s="306"/>
      <c r="Q19" s="310" t="str">
        <f t="shared" si="9"/>
        <v>0,00</v>
      </c>
      <c r="R19" s="310">
        <f>IFERROR(ROUND(IF('Состав ВТК'!P14="",IF(AND('Состав ВТК'!M14&gt;=Выплаты!$Q$8,'Состав ВТК'!L14&lt;=Выплаты!$Q$8),ROUND(IF('счеталка премий'!J11&lt;0,0,('Расчет участников НИР'!$H21*'счеталка премий'!Q11)),2),0),IF(AND('Состав ВТК'!Q14&gt;=Выплаты!$Q$8,'Состав ВТК'!P14&lt;=Выплаты!$Q$8),ROUND(IF('счеталка премий'!J11&lt;0,0,('Расчет участников НИР'!$H21*'счеталка премий'!Q11)),2),0)),2),0)</f>
        <v>0</v>
      </c>
      <c r="S19" s="310">
        <f>IFERROR(ROUND(IF(R19=0,ROUND(('Расчет участников НИР'!$H21*'счеталка премий'!Q11),2)-R19,0),2),0)</f>
        <v>0</v>
      </c>
      <c r="T19" s="310">
        <f t="shared" si="3"/>
        <v>0</v>
      </c>
      <c r="U19" s="306"/>
      <c r="V19" s="310">
        <f t="shared" si="10"/>
        <v>0</v>
      </c>
      <c r="W19" s="310" t="str">
        <f t="shared" si="11"/>
        <v>0,00</v>
      </c>
      <c r="X19" s="310">
        <f>IFERROR(ROUND(IF('Состав ВТК'!P14="",IF('Состав ВТК'!M14&gt;=Выплаты!$V$8,ROUND(IF('счеталка премий'!K11&lt;0,0,'Расчет участников НИР'!$H21*'счеталка премий'!R11),2),0),IF('Состав ВТК'!Q14&gt;=Выплаты!$V$8,ROUND(IF('счеталка премий'!K11&lt;0,0,'Расчет участников НИР'!$H21*'счеталка премий'!R11),2),0)),2),0)</f>
        <v>0</v>
      </c>
      <c r="Y19" s="310">
        <f>IFERROR(ROUND(IF(OR(IF('Состав ВТК'!L14="",AND('Состав ВТК'!Q14&lt;=Выплаты!$V$8,'Состав ВТК'!P14&lt;Выплаты!$V$8),AND('Состав ВТК'!M14&lt;=Выплаты!$V$8,'Состав ВТК'!$K14=справочник!$A$5)),W19=0),0,$Y$12/(Распределение!$N$11-SUMIF($W$14:$W$114,0,Распределение!$N$13:$N$125))*Распределение!N18),2),"0,00")</f>
        <v>0</v>
      </c>
      <c r="Z19" s="310">
        <f>IFERROR(ROUND(IF(X19=0,ROUND(('Расчет участников НИР'!$H21*'счеталка премий'!R11),2)-X19,0),2),0)</f>
        <v>0</v>
      </c>
      <c r="AA19" s="306"/>
      <c r="AB19" s="309">
        <f t="shared" si="12"/>
        <v>0</v>
      </c>
      <c r="AC19" s="309">
        <f t="shared" si="4"/>
        <v>0</v>
      </c>
      <c r="AD19" s="311"/>
      <c r="AE19" s="308"/>
      <c r="AF19" s="523"/>
      <c r="AH19" s="686"/>
    </row>
    <row r="20" spans="1:34" x14ac:dyDescent="0.25">
      <c r="A20" s="247">
        <v>7</v>
      </c>
      <c r="B20" s="602">
        <f>'Состав ВТК'!$B15</f>
        <v>0</v>
      </c>
      <c r="C20" s="310" t="str">
        <f>IFERROR(VLOOKUP($B20,'Состав ВТК'!$B$9:$I$108,7,FALSE),"-")</f>
        <v>-</v>
      </c>
      <c r="D20" s="310" t="str">
        <f>IFERROR(VLOOKUP($B20,'Состав ВТК'!$B$9:$I$108,8,FALSE),"-")</f>
        <v>-</v>
      </c>
      <c r="E20" s="310">
        <f>ROUND(IF($B20='Расчет участников НИР'!$A22,'Расчет участников НИР'!$M22),2)</f>
        <v>0</v>
      </c>
      <c r="F20" s="310">
        <f>ROUND('Расчет участников НИР'!$H22*50%-$E20,2)</f>
        <v>0</v>
      </c>
      <c r="G20" s="310" t="str">
        <f t="shared" si="5"/>
        <v>0,00</v>
      </c>
      <c r="H20" s="310">
        <f>IFERROR(ROUND(IF('Состав ВТК'!P15="",IF(AND('Состав ВТК'!M15&gt;=Выплаты!$G$8,'Состав ВТК'!L15&lt;=Выплаты!$G$8),ROUND(IF('счеталка премий'!H12&lt;0,0,('Расчет участников НИР'!$H22*'счеталка премий'!O12)),2),0),IF(AND('Состав ВТК'!Q15&gt;=Выплаты!$G$8,'Состав ВТК'!P15&lt;=Выплаты!$G$8),ROUND(IF('счеталка премий'!H12&lt;0,0,('Расчет участников НИР'!$H22*'счеталка премий'!O12)),2),0)),2),0)</f>
        <v>0</v>
      </c>
      <c r="I20" s="310">
        <f>IFERROR(ROUND(IF(H20=0,ROUND(('Расчет участников НИР'!$H22*'счеталка премий'!O12),2)-H20,0),2),0)</f>
        <v>0</v>
      </c>
      <c r="J20" s="310">
        <f t="shared" si="6"/>
        <v>0</v>
      </c>
      <c r="K20" s="306"/>
      <c r="L20" s="310" t="str">
        <f t="shared" si="7"/>
        <v>0,00</v>
      </c>
      <c r="M20" s="310">
        <f>IFERROR(ROUND(IF('Состав ВТК'!P15="",IF(AND('Состав ВТК'!M15&gt;=Выплаты!$L$8,'Состав ВТК'!L15&lt;=Выплаты!$L$8),ROUND(IF('счеталка премий'!I12&lt;0,0,('Расчет участников НИР'!$H22*'счеталка премий'!P12)),2),0),IF(AND('Состав ВТК'!Q15&gt;=Выплаты!$L$8,'Состав ВТК'!P15&lt;=Выплаты!$L$8),ROUND(IF('счеталка премий'!I12&lt;0,0,('Расчет участников НИР'!$H22*'счеталка премий'!P12)),2),0)),2),0)</f>
        <v>0</v>
      </c>
      <c r="N20" s="310">
        <f>IFERROR(ROUND(IF(M20=0,ROUND(('Расчет участников НИР'!$H22*'счеталка премий'!P12),2)-M20,0),2),0)</f>
        <v>0</v>
      </c>
      <c r="O20" s="310">
        <f t="shared" si="8"/>
        <v>0</v>
      </c>
      <c r="P20" s="306"/>
      <c r="Q20" s="310" t="str">
        <f t="shared" si="9"/>
        <v>0,00</v>
      </c>
      <c r="R20" s="310">
        <f>IFERROR(ROUND(IF('Состав ВТК'!P15="",IF(AND('Состав ВТК'!M15&gt;=Выплаты!$Q$8,'Состав ВТК'!L15&lt;=Выплаты!$Q$8),ROUND(IF('счеталка премий'!J12&lt;0,0,('Расчет участников НИР'!$H22*'счеталка премий'!Q12)),2),0),IF(AND('Состав ВТК'!Q15&gt;=Выплаты!$Q$8,'Состав ВТК'!P15&lt;=Выплаты!$Q$8),ROUND(IF('счеталка премий'!J12&lt;0,0,('Расчет участников НИР'!$H22*'счеталка премий'!Q12)),2),0)),2),0)</f>
        <v>0</v>
      </c>
      <c r="S20" s="310">
        <f>IFERROR(ROUND(IF(R20=0,ROUND(('Расчет участников НИР'!$H22*'счеталка премий'!Q12),2)-R20,0),2),0)</f>
        <v>0</v>
      </c>
      <c r="T20" s="310">
        <f t="shared" si="3"/>
        <v>0</v>
      </c>
      <c r="U20" s="306"/>
      <c r="V20" s="310">
        <f t="shared" si="10"/>
        <v>0</v>
      </c>
      <c r="W20" s="310" t="str">
        <f t="shared" si="11"/>
        <v>0,00</v>
      </c>
      <c r="X20" s="310">
        <f>IFERROR(ROUND(IF('Состав ВТК'!P15="",IF('Состав ВТК'!M15&gt;=Выплаты!$V$8,ROUND(IF('счеталка премий'!K12&lt;0,0,'Расчет участников НИР'!$H22*'счеталка премий'!R12),2),0),IF('Состав ВТК'!Q15&gt;=Выплаты!$V$8,ROUND(IF('счеталка премий'!K12&lt;0,0,'Расчет участников НИР'!$H22*'счеталка премий'!R12),2),0)),2),0)</f>
        <v>0</v>
      </c>
      <c r="Y20" s="310">
        <f>IFERROR(ROUND(IF(OR(IF('Состав ВТК'!L15="",AND('Состав ВТК'!Q15&lt;=Выплаты!$V$8,'Состав ВТК'!P15&lt;Выплаты!$V$8),AND('Состав ВТК'!M15&lt;=Выплаты!$V$8,'Состав ВТК'!$K15=справочник!$A$5)),W20=0),0,$Y$12/(Распределение!$N$11-SUMIF($W$14:$W$114,0,Распределение!$N$13:$N$125))*Распределение!N19),2),"0,00")</f>
        <v>0</v>
      </c>
      <c r="Z20" s="310">
        <f>IFERROR(ROUND(IF(X20=0,ROUND(('Расчет участников НИР'!$H22*'счеталка премий'!R12),2)-X20,0),2),0)</f>
        <v>0</v>
      </c>
      <c r="AA20" s="306"/>
      <c r="AB20" s="309">
        <f t="shared" si="12"/>
        <v>0</v>
      </c>
      <c r="AC20" s="309">
        <f t="shared" si="4"/>
        <v>0</v>
      </c>
      <c r="AD20" s="311"/>
      <c r="AE20" s="308"/>
      <c r="AF20" s="523"/>
      <c r="AH20" s="686"/>
    </row>
    <row r="21" spans="1:34" x14ac:dyDescent="0.25">
      <c r="A21" s="247">
        <v>8</v>
      </c>
      <c r="B21" s="602">
        <f>'Состав ВТК'!$B16</f>
        <v>0</v>
      </c>
      <c r="C21" s="310" t="str">
        <f>IFERROR(VLOOKUP($B21,'Состав ВТК'!$B$9:$I$108,7,FALSE),"-")</f>
        <v>-</v>
      </c>
      <c r="D21" s="310" t="str">
        <f>IFERROR(VLOOKUP($B21,'Состав ВТК'!$B$9:$I$108,8,FALSE),"-")</f>
        <v>-</v>
      </c>
      <c r="E21" s="310">
        <f>ROUND(IF($B21='Расчет участников НИР'!$A23,'Расчет участников НИР'!$M23),2)</f>
        <v>0</v>
      </c>
      <c r="F21" s="310">
        <f>ROUND('Расчет участников НИР'!$H23*50%-$E21,2)</f>
        <v>0</v>
      </c>
      <c r="G21" s="310" t="str">
        <f t="shared" si="5"/>
        <v>0,00</v>
      </c>
      <c r="H21" s="310">
        <f>IFERROR(ROUND(IF('Состав ВТК'!P16="",IF(AND('Состав ВТК'!M16&gt;=Выплаты!$G$8,'Состав ВТК'!L16&lt;=Выплаты!$G$8),ROUND(IF('счеталка премий'!H13&lt;0,0,('Расчет участников НИР'!$H23*'счеталка премий'!O13)),2),0),IF(AND('Состав ВТК'!Q16&gt;=Выплаты!$G$8,'Состав ВТК'!P16&lt;=Выплаты!$G$8),ROUND(IF('счеталка премий'!H13&lt;0,0,('Расчет участников НИР'!$H23*'счеталка премий'!O13)),2),0)),2),0)</f>
        <v>0</v>
      </c>
      <c r="I21" s="310">
        <f>IFERROR(ROUND(IF(H21=0,ROUND(('Расчет участников НИР'!$H23*'счеталка премий'!O13),2)-H21,0),2),0)</f>
        <v>0</v>
      </c>
      <c r="J21" s="310">
        <f t="shared" si="6"/>
        <v>0</v>
      </c>
      <c r="K21" s="306"/>
      <c r="L21" s="310" t="str">
        <f t="shared" si="7"/>
        <v>0,00</v>
      </c>
      <c r="M21" s="310">
        <f>IFERROR(ROUND(IF('Состав ВТК'!P16="",IF(AND('Состав ВТК'!M16&gt;=Выплаты!$L$8,'Состав ВТК'!L16&lt;=Выплаты!$L$8),ROUND(IF('счеталка премий'!I13&lt;0,0,('Расчет участников НИР'!$H23*'счеталка премий'!P13)),2),0),IF(AND('Состав ВТК'!Q16&gt;=Выплаты!$L$8,'Состав ВТК'!P16&lt;=Выплаты!$L$8),ROUND(IF('счеталка премий'!I13&lt;0,0,('Расчет участников НИР'!$H23*'счеталка премий'!P13)),2),0)),2),0)</f>
        <v>0</v>
      </c>
      <c r="N21" s="310">
        <f>IFERROR(ROUND(IF(M21=0,ROUND(('Расчет участников НИР'!$H23*'счеталка премий'!P13),2)-M21,0),2),0)</f>
        <v>0</v>
      </c>
      <c r="O21" s="310">
        <f t="shared" si="8"/>
        <v>0</v>
      </c>
      <c r="P21" s="306"/>
      <c r="Q21" s="310" t="str">
        <f t="shared" si="9"/>
        <v>0,00</v>
      </c>
      <c r="R21" s="310">
        <f>IFERROR(ROUND(IF('Состав ВТК'!P16="",IF(AND('Состав ВТК'!M16&gt;=Выплаты!$Q$8,'Состав ВТК'!L16&lt;=Выплаты!$Q$8),ROUND(IF('счеталка премий'!J13&lt;0,0,('Расчет участников НИР'!$H23*'счеталка премий'!Q13)),2),0),IF(AND('Состав ВТК'!Q16&gt;=Выплаты!$Q$8,'Состав ВТК'!P16&lt;=Выплаты!$Q$8),ROUND(IF('счеталка премий'!J13&lt;0,0,('Расчет участников НИР'!$H23*'счеталка премий'!Q13)),2),0)),2),0)</f>
        <v>0</v>
      </c>
      <c r="S21" s="310">
        <f>IFERROR(ROUND(IF(R21=0,ROUND(('Расчет участников НИР'!$H23*'счеталка премий'!Q13),2)-R21,0),2),0)</f>
        <v>0</v>
      </c>
      <c r="T21" s="310">
        <f t="shared" si="3"/>
        <v>0</v>
      </c>
      <c r="U21" s="306"/>
      <c r="V21" s="310">
        <f t="shared" si="10"/>
        <v>0</v>
      </c>
      <c r="W21" s="310" t="str">
        <f t="shared" si="11"/>
        <v>0,00</v>
      </c>
      <c r="X21" s="310">
        <f>IFERROR(ROUND(IF('Состав ВТК'!P16="",IF('Состав ВТК'!M16&gt;=Выплаты!$V$8,ROUND(IF('счеталка премий'!K13&lt;0,0,'Расчет участников НИР'!$H23*'счеталка премий'!R13),2),0),IF('Состав ВТК'!Q16&gt;=Выплаты!$V$8,ROUND(IF('счеталка премий'!K13&lt;0,0,'Расчет участников НИР'!$H23*'счеталка премий'!R13),2),0)),2),0)</f>
        <v>0</v>
      </c>
      <c r="Y21" s="310">
        <f>IFERROR(ROUND(IF(OR(IF('Состав ВТК'!L16="",AND('Состав ВТК'!Q16&lt;=Выплаты!$V$8,'Состав ВТК'!P16&lt;Выплаты!$V$8),AND('Состав ВТК'!M16&lt;=Выплаты!$V$8,'Состав ВТК'!$K16=справочник!$A$5)),W21=0),0,$Y$12/(Распределение!$N$11-SUMIF($W$14:$W$114,0,Распределение!$N$13:$N$125))*Распределение!N20),2),"0,00")</f>
        <v>0</v>
      </c>
      <c r="Z21" s="310">
        <f>IFERROR(ROUND(IF(X21=0,ROUND(('Расчет участников НИР'!$H23*'счеталка премий'!R13),2)-X21,0),2),0)</f>
        <v>0</v>
      </c>
      <c r="AA21" s="306"/>
      <c r="AB21" s="756">
        <f t="shared" si="12"/>
        <v>0</v>
      </c>
      <c r="AC21" s="756">
        <f t="shared" si="4"/>
        <v>0</v>
      </c>
      <c r="AD21" s="311"/>
      <c r="AE21" s="308"/>
      <c r="AF21" s="523"/>
      <c r="AH21" s="686"/>
    </row>
    <row r="22" spans="1:34" x14ac:dyDescent="0.25">
      <c r="A22" s="247">
        <v>9</v>
      </c>
      <c r="B22" s="602">
        <f>'Состав ВТК'!$B17</f>
        <v>0</v>
      </c>
      <c r="C22" s="310" t="str">
        <f>IFERROR(VLOOKUP($B22,'Состав ВТК'!$B$9:$I$108,7,FALSE),"-")</f>
        <v>-</v>
      </c>
      <c r="D22" s="310" t="str">
        <f>IFERROR(VLOOKUP($B22,'Состав ВТК'!$B$9:$I$108,8,FALSE),"-")</f>
        <v>-</v>
      </c>
      <c r="E22" s="310">
        <f>ROUND(IF($B22='Расчет участников НИР'!$A24,'Расчет участников НИР'!$M24),2)</f>
        <v>0</v>
      </c>
      <c r="F22" s="310">
        <f>ROUND('Расчет участников НИР'!$H24*50%-$E22,2)</f>
        <v>0</v>
      </c>
      <c r="G22" s="310" t="str">
        <f t="shared" si="5"/>
        <v>0,00</v>
      </c>
      <c r="H22" s="310">
        <f>IFERROR(ROUND(IF('Состав ВТК'!P17="",IF(AND('Состав ВТК'!M17&gt;=Выплаты!$G$8,'Состав ВТК'!L17&lt;=Выплаты!$G$8),ROUND(IF('счеталка премий'!H14&lt;0,0,('Расчет участников НИР'!$H24*'счеталка премий'!O14)),2),0),IF(AND('Состав ВТК'!Q17&gt;=Выплаты!$G$8,'Состав ВТК'!P17&lt;=Выплаты!$G$8),ROUND(IF('счеталка премий'!H14&lt;0,0,('Расчет участников НИР'!$H24*'счеталка премий'!O14)),2),0)),2),0)</f>
        <v>0</v>
      </c>
      <c r="I22" s="310">
        <f>IFERROR(ROUND(IF(H22=0,ROUND(('Расчет участников НИР'!$H24*'счеталка премий'!O14),2)-H22,0),2),0)</f>
        <v>0</v>
      </c>
      <c r="J22" s="310">
        <f t="shared" si="6"/>
        <v>0</v>
      </c>
      <c r="K22" s="306"/>
      <c r="L22" s="310" t="str">
        <f t="shared" si="7"/>
        <v>0,00</v>
      </c>
      <c r="M22" s="310">
        <f>IFERROR(ROUND(IF('Состав ВТК'!P17="",IF(AND('Состав ВТК'!M17&gt;=Выплаты!$L$8,'Состав ВТК'!L17&lt;=Выплаты!$L$8),ROUND(IF('счеталка премий'!I14&lt;0,0,('Расчет участников НИР'!$H24*'счеталка премий'!P14)),2),0),IF(AND('Состав ВТК'!Q17&gt;=Выплаты!$L$8,'Состав ВТК'!P17&lt;=Выплаты!$L$8),ROUND(IF('счеталка премий'!I14&lt;0,0,('Расчет участников НИР'!$H24*'счеталка премий'!P14)),2),0)),2),0)</f>
        <v>0</v>
      </c>
      <c r="N22" s="310">
        <f>IFERROR(ROUND(IF(M22=0,ROUND(('Расчет участников НИР'!$H24*'счеталка премий'!P14),2)-M22,0),2),0)</f>
        <v>0</v>
      </c>
      <c r="O22" s="310">
        <f t="shared" si="8"/>
        <v>0</v>
      </c>
      <c r="P22" s="306"/>
      <c r="Q22" s="310" t="str">
        <f>IFERROR(ROUND(IF(R22&lt;0,0,R22+($S$12/($R$12-SUMIF($R$14:$R$113,"&lt;0"))*R22)),2),"0,00")</f>
        <v>0,00</v>
      </c>
      <c r="R22" s="310">
        <f>IFERROR(ROUND(IF('Состав ВТК'!P17="",IF(AND('Состав ВТК'!M17&gt;=Выплаты!$Q$8,'Состав ВТК'!L17&lt;=Выплаты!$Q$8),ROUND(IF('счеталка премий'!J14&lt;0,0,('Расчет участников НИР'!$H24*'счеталка премий'!Q14)),2),0),IF(AND('Состав ВТК'!Q17&gt;=Выплаты!$Q$8,'Состав ВТК'!P17&lt;=Выплаты!$Q$8),ROUND(IF('счеталка премий'!J14&lt;0,0,('Расчет участников НИР'!$H24*'счеталка премий'!Q14)),2),0)),2),0)</f>
        <v>0</v>
      </c>
      <c r="S22" s="310">
        <f>IFERROR(ROUND(IF(R22=0,ROUND(('Расчет участников НИР'!$H24*'счеталка премий'!Q14),2)-R22,0),2),0)</f>
        <v>0</v>
      </c>
      <c r="T22" s="310">
        <f t="shared" si="3"/>
        <v>0</v>
      </c>
      <c r="U22" s="306"/>
      <c r="V22" s="310">
        <f t="shared" si="10"/>
        <v>0</v>
      </c>
      <c r="W22" s="310" t="str">
        <f t="shared" si="11"/>
        <v>0,00</v>
      </c>
      <c r="X22" s="310">
        <f>IFERROR(ROUND(IF('Состав ВТК'!P17="",IF('Состав ВТК'!M17&gt;=Выплаты!$V$8,ROUND(IF('счеталка премий'!K14&lt;0,0,'Расчет участников НИР'!$H24*'счеталка премий'!R14),2),0),IF('Состав ВТК'!Q17&gt;=Выплаты!$V$8,ROUND(IF('счеталка премий'!K14&lt;0,0,'Расчет участников НИР'!$H24*'счеталка премий'!R14),2),0)),2),0)</f>
        <v>0</v>
      </c>
      <c r="Y22" s="310">
        <f>IFERROR(ROUND(IF(OR(IF('Состав ВТК'!L17="",AND('Состав ВТК'!Q17&lt;=Выплаты!$V$8,'Состав ВТК'!P17&lt;Выплаты!$V$8),AND('Состав ВТК'!M17&lt;=Выплаты!$V$8,'Состав ВТК'!$K17=справочник!$A$5)),W22=0),0,$Y$12/(Распределение!$N$11-SUMIF($W$14:$W$114,0,Распределение!$N$13:$N$125))*Распределение!N21),2),"0,00")</f>
        <v>0</v>
      </c>
      <c r="Z22" s="310">
        <f>IFERROR(ROUND(IF(X22=0,ROUND(('Расчет участников НИР'!$H24*'счеталка премий'!R14),2)-X22,0),2),0)</f>
        <v>0</v>
      </c>
      <c r="AA22" s="306"/>
      <c r="AB22" s="756">
        <f t="shared" si="12"/>
        <v>0</v>
      </c>
      <c r="AC22" s="756">
        <f t="shared" si="4"/>
        <v>0</v>
      </c>
      <c r="AD22" s="311"/>
      <c r="AE22" s="308"/>
      <c r="AF22" s="523"/>
      <c r="AH22" s="686"/>
    </row>
    <row r="23" spans="1:34" x14ac:dyDescent="0.25">
      <c r="A23" s="247">
        <v>10</v>
      </c>
      <c r="B23" s="602">
        <f>'Состав ВТК'!$B18</f>
        <v>0</v>
      </c>
      <c r="C23" s="310" t="str">
        <f>IFERROR(VLOOKUP($B23,'Состав ВТК'!$B$9:$I$108,7,FALSE),"-")</f>
        <v>-</v>
      </c>
      <c r="D23" s="310" t="str">
        <f>IFERROR(VLOOKUP($B23,'Состав ВТК'!$B$9:$I$108,8,FALSE),"-")</f>
        <v>-</v>
      </c>
      <c r="E23" s="310">
        <f>ROUND(IF($B23='Расчет участников НИР'!$A25,'Расчет участников НИР'!$M25),2)</f>
        <v>0</v>
      </c>
      <c r="F23" s="310">
        <f>ROUND('Расчет участников НИР'!$H25*50%-$E23,2)</f>
        <v>0</v>
      </c>
      <c r="G23" s="310" t="str">
        <f t="shared" si="5"/>
        <v>0,00</v>
      </c>
      <c r="H23" s="310">
        <f>IFERROR(ROUND(IF('Состав ВТК'!P18="",IF(AND('Состав ВТК'!M18&gt;=Выплаты!$G$8,'Состав ВТК'!L18&lt;=Выплаты!$G$8),ROUND(IF('счеталка премий'!H15&lt;0,0,('Расчет участников НИР'!$H25*'счеталка премий'!O15)),2),0),IF(AND('Состав ВТК'!Q18&gt;=Выплаты!$G$8,'Состав ВТК'!P18&lt;=Выплаты!$G$8),ROUND(IF('счеталка премий'!H15&lt;0,0,('Расчет участников НИР'!$H25*'счеталка премий'!O15)),2),0)),2),0)</f>
        <v>0</v>
      </c>
      <c r="I23" s="310">
        <f>IFERROR(ROUND(IF(H23=0,ROUND(('Расчет участников НИР'!$H25*'счеталка премий'!O15),2)-H23,0),2),0)</f>
        <v>0</v>
      </c>
      <c r="J23" s="310">
        <f t="shared" si="6"/>
        <v>0</v>
      </c>
      <c r="K23" s="306"/>
      <c r="L23" s="310" t="str">
        <f t="shared" si="7"/>
        <v>0,00</v>
      </c>
      <c r="M23" s="310">
        <f>IFERROR(ROUND(IF('Состав ВТК'!P18="",IF(AND('Состав ВТК'!M18&gt;=Выплаты!$L$8,'Состав ВТК'!L18&lt;=Выплаты!$L$8),ROUND(IF('счеталка премий'!I15&lt;0,0,('Расчет участников НИР'!$H25*'счеталка премий'!P15)),2),0),IF(AND('Состав ВТК'!Q18&gt;=Выплаты!$L$8,'Состав ВТК'!P18&lt;=Выплаты!$L$8),ROUND(IF('счеталка премий'!I15&lt;0,0,('Расчет участников НИР'!$H25*'счеталка премий'!P15)),2),0)),2),0)</f>
        <v>0</v>
      </c>
      <c r="N23" s="310">
        <f>IFERROR(ROUND(IF(M23=0,ROUND(('Расчет участников НИР'!$H25*'счеталка премий'!P15),2)-M23,0),2),0)</f>
        <v>0</v>
      </c>
      <c r="O23" s="310">
        <f t="shared" si="8"/>
        <v>0</v>
      </c>
      <c r="P23" s="306"/>
      <c r="Q23" s="310" t="str">
        <f t="shared" si="9"/>
        <v>0,00</v>
      </c>
      <c r="R23" s="310">
        <f>IFERROR(ROUND(IF('Состав ВТК'!P18="",IF(AND('Состав ВТК'!M18&gt;=Выплаты!$Q$8,'Состав ВТК'!L18&lt;=Выплаты!$Q$8),ROUND(IF('счеталка премий'!J15&lt;0,0,('Расчет участников НИР'!$H25*'счеталка премий'!Q15)),2),0),IF(AND('Состав ВТК'!Q18&gt;=Выплаты!$Q$8,'Состав ВТК'!P18&lt;=Выплаты!$Q$8),ROUND(IF('счеталка премий'!J15&lt;0,0,('Расчет участников НИР'!$H25*'счеталка премий'!Q15)),2),0)),2),0)</f>
        <v>0</v>
      </c>
      <c r="S23" s="310">
        <f>IFERROR(ROUND(IF(R23=0,ROUND(('Расчет участников НИР'!$H25*'счеталка премий'!Q15),2)-R23,0),2),0)</f>
        <v>0</v>
      </c>
      <c r="T23" s="310">
        <f t="shared" si="3"/>
        <v>0</v>
      </c>
      <c r="U23" s="306"/>
      <c r="V23" s="310">
        <f t="shared" si="10"/>
        <v>0</v>
      </c>
      <c r="W23" s="310" t="str">
        <f t="shared" si="11"/>
        <v>0,00</v>
      </c>
      <c r="X23" s="310">
        <f>IFERROR(ROUND(IF('Состав ВТК'!P18="",IF('Состав ВТК'!M18&gt;=Выплаты!$V$8,ROUND(IF('счеталка премий'!K15&lt;0,0,'Расчет участников НИР'!$H25*'счеталка премий'!R15),2),0),IF('Состав ВТК'!Q18&gt;=Выплаты!$V$8,ROUND(IF('счеталка премий'!K15&lt;0,0,'Расчет участников НИР'!$H25*'счеталка премий'!R15),2),0)),2),0)</f>
        <v>0</v>
      </c>
      <c r="Y23" s="310">
        <f>IFERROR(ROUND(IF(OR(IF('Состав ВТК'!L18="",AND('Состав ВТК'!Q18&lt;=Выплаты!$V$8,'Состав ВТК'!P18&lt;Выплаты!$V$8),AND('Состав ВТК'!M18&lt;=Выплаты!$V$8,'Состав ВТК'!$K18=справочник!$A$5)),W23=0),0,$Y$12/(Распределение!$N$11-SUMIF($W$14:$W$114,0,Распределение!$N$13:$N$125))*Распределение!N22),2),"0,00")</f>
        <v>0</v>
      </c>
      <c r="Z23" s="310">
        <f>IFERROR(ROUND(IF(X23=0,ROUND(('Расчет участников НИР'!$H25*'счеталка премий'!R15),2)-X23,0),2),0)</f>
        <v>0</v>
      </c>
      <c r="AA23" s="306"/>
      <c r="AB23" s="756">
        <f t="shared" si="12"/>
        <v>0</v>
      </c>
      <c r="AC23" s="756">
        <f t="shared" si="4"/>
        <v>0</v>
      </c>
      <c r="AD23" s="311"/>
      <c r="AE23" s="308"/>
      <c r="AF23" s="523"/>
      <c r="AH23" s="686"/>
    </row>
    <row r="24" spans="1:34" x14ac:dyDescent="0.25">
      <c r="A24" s="247">
        <v>11</v>
      </c>
      <c r="B24" s="602">
        <f>'Состав ВТК'!$B19</f>
        <v>0</v>
      </c>
      <c r="C24" s="310" t="str">
        <f>IFERROR(VLOOKUP($B24,'Состав ВТК'!$B$9:$I$108,7,FALSE),"-")</f>
        <v>-</v>
      </c>
      <c r="D24" s="310" t="str">
        <f>IFERROR(VLOOKUP($B24,'Состав ВТК'!$B$9:$I$108,8,FALSE),"-")</f>
        <v>-</v>
      </c>
      <c r="E24" s="310">
        <f>ROUND(IF($B24='Расчет участников НИР'!$A26,'Расчет участников НИР'!$M26),2)</f>
        <v>0</v>
      </c>
      <c r="F24" s="310">
        <f>ROUND('Расчет участников НИР'!$H26*50%-$E24,2)</f>
        <v>0</v>
      </c>
      <c r="G24" s="310" t="str">
        <f>IFERROR(ROUND(IF(H24&lt;0,0,H24+($I$12/($H$12-SUMIF($H$14:$H$113,"&lt;0"))*H24)),2),"0,00")</f>
        <v>0,00</v>
      </c>
      <c r="H24" s="310">
        <f>IFERROR(ROUND(IF('Состав ВТК'!P19="",IF(AND('Состав ВТК'!M19&gt;=Выплаты!$G$8,'Состав ВТК'!L19&lt;=Выплаты!$G$8),ROUND(IF('счеталка премий'!H16&lt;0,0,('Расчет участников НИР'!$H26*'счеталка премий'!O16)),2),0),IF(AND('Состав ВТК'!Q19&gt;=Выплаты!$G$8,'Состав ВТК'!P19&lt;=Выплаты!$G$8),ROUND(IF('счеталка премий'!H16&lt;0,0,('Расчет участников НИР'!$H26*'счеталка премий'!O16)),2),0)),2),0)</f>
        <v>0</v>
      </c>
      <c r="I24" s="310">
        <f>IFERROR(ROUND(IF(H24=0,ROUND(('Расчет участников НИР'!$H26*'счеталка премий'!O16),2)-H24,0),2),0)</f>
        <v>0</v>
      </c>
      <c r="J24" s="310">
        <f t="shared" si="6"/>
        <v>0</v>
      </c>
      <c r="K24" s="306"/>
      <c r="L24" s="310" t="str">
        <f t="shared" si="7"/>
        <v>0,00</v>
      </c>
      <c r="M24" s="310">
        <f>IFERROR(ROUND(IF('Состав ВТК'!P19="",IF(AND('Состав ВТК'!M19&gt;=Выплаты!$L$8,'Состав ВТК'!L19&lt;=Выплаты!$L$8),ROUND(IF('счеталка премий'!I16&lt;0,0,('Расчет участников НИР'!$H26*'счеталка премий'!P16)),2),0),IF(AND('Состав ВТК'!Q19&gt;=Выплаты!$L$8,'Состав ВТК'!P19&lt;=Выплаты!$L$8),ROUND(IF('счеталка премий'!I16&lt;0,0,('Расчет участников НИР'!$H26*'счеталка премий'!P16)),2),0)),2),0)</f>
        <v>0</v>
      </c>
      <c r="N24" s="310">
        <f>IFERROR(ROUND(IF(M24=0,ROUND(('Расчет участников НИР'!$H26*'счеталка премий'!P16),2)-M24,0),2),0)</f>
        <v>0</v>
      </c>
      <c r="O24" s="310">
        <f t="shared" si="8"/>
        <v>0</v>
      </c>
      <c r="P24" s="306"/>
      <c r="Q24" s="310" t="str">
        <f t="shared" si="9"/>
        <v>0,00</v>
      </c>
      <c r="R24" s="310">
        <f>IFERROR(ROUND(IF('Состав ВТК'!P19="",IF(AND('Состав ВТК'!M19&gt;=Выплаты!$Q$8,'Состав ВТК'!L19&lt;=Выплаты!$Q$8),ROUND(IF('счеталка премий'!J16&lt;0,0,('Расчет участников НИР'!$H26*'счеталка премий'!Q16)),2),0),IF(AND('Состав ВТК'!Q19&gt;=Выплаты!$Q$8,'Состав ВТК'!P19&lt;=Выплаты!$Q$8),ROUND(IF('счеталка премий'!J16&lt;0,0,('Расчет участников НИР'!$H26*'счеталка премий'!Q16)),2),0)),2),0)</f>
        <v>0</v>
      </c>
      <c r="S24" s="310">
        <f>IFERROR(ROUND(IF(R24=0,ROUND(('Расчет участников НИР'!$H26*'счеталка премий'!Q16),2)-R24,0),2),0)</f>
        <v>0</v>
      </c>
      <c r="T24" s="310">
        <f t="shared" si="3"/>
        <v>0</v>
      </c>
      <c r="U24" s="306"/>
      <c r="V24" s="310">
        <f t="shared" si="10"/>
        <v>0</v>
      </c>
      <c r="W24" s="310" t="str">
        <f t="shared" si="11"/>
        <v>0,00</v>
      </c>
      <c r="X24" s="310">
        <f>IFERROR(ROUND(IF('Состав ВТК'!P19="",IF('Состав ВТК'!M19&gt;=Выплаты!$V$8,ROUND(IF('счеталка премий'!K16&lt;0,0,'Расчет участников НИР'!$H26*'счеталка премий'!R16),2),0),IF('Состав ВТК'!Q19&gt;=Выплаты!$V$8,ROUND(IF('счеталка премий'!K16&lt;0,0,'Расчет участников НИР'!$H26*'счеталка премий'!R16),2),0)),2),0)</f>
        <v>0</v>
      </c>
      <c r="Y24" s="310">
        <f>IFERROR(ROUND(IF(OR(IF('Состав ВТК'!L19="",AND('Состав ВТК'!Q19&lt;=Выплаты!$V$8,'Состав ВТК'!P19&lt;Выплаты!$V$8),AND('Состав ВТК'!M19&lt;=Выплаты!$V$8,'Состав ВТК'!$K19=справочник!$A$5)),W24=0),0,$Y$12/(Распределение!$N$11-SUMIF($W$14:$W$114,0,Распределение!$N$13:$N$125))*Распределение!N23),2),"0,00")</f>
        <v>0</v>
      </c>
      <c r="Z24" s="310">
        <f>IFERROR(ROUND(IF(X24=0,ROUND(('Расчет участников НИР'!$H26*'счеталка премий'!R16),2)-X24,0),2),0)</f>
        <v>0</v>
      </c>
      <c r="AA24" s="306"/>
      <c r="AB24" s="756">
        <f t="shared" si="12"/>
        <v>0</v>
      </c>
      <c r="AC24" s="756">
        <f t="shared" si="4"/>
        <v>0</v>
      </c>
      <c r="AD24" s="311"/>
      <c r="AE24" s="308"/>
      <c r="AF24" s="523"/>
      <c r="AH24" s="686"/>
    </row>
    <row r="25" spans="1:34" x14ac:dyDescent="0.25">
      <c r="A25" s="247">
        <v>12</v>
      </c>
      <c r="B25" s="602">
        <f>'Состав ВТК'!$B20</f>
        <v>0</v>
      </c>
      <c r="C25" s="310" t="str">
        <f>IFERROR(VLOOKUP($B25,'Состав ВТК'!$B$9:$I$108,7,FALSE),"-")</f>
        <v>-</v>
      </c>
      <c r="D25" s="310" t="str">
        <f>IFERROR(VLOOKUP($B25,'Состав ВТК'!$B$9:$I$108,8,FALSE),"-")</f>
        <v>-</v>
      </c>
      <c r="E25" s="310">
        <f>ROUND(IF($B25='Расчет участников НИР'!$A27,'Расчет участников НИР'!$M27),2)</f>
        <v>0</v>
      </c>
      <c r="F25" s="310">
        <f>ROUND('Расчет участников НИР'!$H27*50%-$E25,2)</f>
        <v>0</v>
      </c>
      <c r="G25" s="310" t="str">
        <f t="shared" si="5"/>
        <v>0,00</v>
      </c>
      <c r="H25" s="310">
        <f>IFERROR(ROUND(IF('Состав ВТК'!P20="",IF(AND('Состав ВТК'!M20&gt;=Выплаты!$G$8,'Состав ВТК'!L20&lt;=Выплаты!$G$8),ROUND(IF('счеталка премий'!H17&lt;0,0,('Расчет участников НИР'!$H27*'счеталка премий'!O17)),2),0),IF(AND('Состав ВТК'!Q20&gt;=Выплаты!$G$8,'Состав ВТК'!P20&lt;=Выплаты!$G$8),ROUND(IF('счеталка премий'!H17&lt;0,0,('Расчет участников НИР'!$H27*'счеталка премий'!O17)),2),0)),2),0)</f>
        <v>0</v>
      </c>
      <c r="I25" s="310">
        <f>IFERROR(ROUND(IF(H25=0,ROUND(('Расчет участников НИР'!$H27*'счеталка премий'!O17),2)-H25,0),2),0)</f>
        <v>0</v>
      </c>
      <c r="J25" s="310">
        <f t="shared" si="6"/>
        <v>0</v>
      </c>
      <c r="K25" s="306"/>
      <c r="L25" s="310" t="str">
        <f t="shared" si="7"/>
        <v>0,00</v>
      </c>
      <c r="M25" s="310">
        <f>IFERROR(ROUND(IF('Состав ВТК'!P20="",IF(AND('Состав ВТК'!M20&gt;=Выплаты!$L$8,'Состав ВТК'!L20&lt;=Выплаты!$L$8),ROUND(IF('счеталка премий'!I17&lt;0,0,('Расчет участников НИР'!$H27*'счеталка премий'!P17)),2),0),IF(AND('Состав ВТК'!Q20&gt;=Выплаты!$L$8,'Состав ВТК'!P20&lt;=Выплаты!$L$8),ROUND(IF('счеталка премий'!I17&lt;0,0,('Расчет участников НИР'!$H27*'счеталка премий'!P17)),2),0)),2),0)</f>
        <v>0</v>
      </c>
      <c r="N25" s="310">
        <f>IFERROR(ROUND(IF(M25=0,ROUND(('Расчет участников НИР'!$H27*'счеталка премий'!P17),2)-M25,0),2),0)</f>
        <v>0</v>
      </c>
      <c r="O25" s="310">
        <f t="shared" si="8"/>
        <v>0</v>
      </c>
      <c r="P25" s="306"/>
      <c r="Q25" s="310" t="str">
        <f t="shared" si="9"/>
        <v>0,00</v>
      </c>
      <c r="R25" s="310">
        <f>IFERROR(ROUND(IF('Состав ВТК'!P20="",IF(AND('Состав ВТК'!M20&gt;=Выплаты!$Q$8,'Состав ВТК'!L20&lt;=Выплаты!$Q$8),ROUND(IF('счеталка премий'!J17&lt;0,0,('Расчет участников НИР'!$H27*'счеталка премий'!Q17)),2),0),IF(AND('Состав ВТК'!Q20&gt;=Выплаты!$Q$8,'Состав ВТК'!P20&lt;=Выплаты!$Q$8),ROUND(IF('счеталка премий'!J17&lt;0,0,('Расчет участников НИР'!$H27*'счеталка премий'!Q17)),2),0)),2),0)</f>
        <v>0</v>
      </c>
      <c r="S25" s="310">
        <f>IFERROR(ROUND(IF(R25=0,ROUND(('Расчет участников НИР'!$H27*'счеталка премий'!Q17),2)-R25,0),2),0)</f>
        <v>0</v>
      </c>
      <c r="T25" s="310">
        <f t="shared" si="3"/>
        <v>0</v>
      </c>
      <c r="U25" s="306"/>
      <c r="V25" s="310">
        <f t="shared" si="10"/>
        <v>0</v>
      </c>
      <c r="W25" s="310" t="str">
        <f>IFERROR(ROUND(IF(X25&lt;0,0,X25+(($Z$12+SUMIF($X$14:$X$113,"&lt;0"))/($X$12-SUMIF($X$14:$X$113,"&lt;0"))*X25)),2),"0,00")</f>
        <v>0,00</v>
      </c>
      <c r="X25" s="310">
        <f>IFERROR(ROUND(IF('Состав ВТК'!P20="",IF('Состав ВТК'!M20&gt;=Выплаты!$V$8,ROUND(IF('счеталка премий'!K17&lt;0,0,'Расчет участников НИР'!$H27*'счеталка премий'!R17),2),0),IF('Состав ВТК'!Q20&gt;=Выплаты!$V$8,ROUND(IF('счеталка премий'!K17&lt;0,0,'Расчет участников НИР'!$H27*'счеталка премий'!R17),2),0)),2),0)</f>
        <v>0</v>
      </c>
      <c r="Y25" s="310">
        <f>IFERROR(ROUND(IF(OR(IF('Состав ВТК'!L20="",AND('Состав ВТК'!Q20&lt;=Выплаты!$V$8,'Состав ВТК'!P20&lt;Выплаты!$V$8),AND('Состав ВТК'!M20&lt;=Выплаты!$V$8,'Состав ВТК'!$K20=справочник!$A$5)),W25=0),0,$Y$12/(Распределение!$N$11-SUMIF($W$14:$W$114,0,Распределение!$N$13:$N$125))*Распределение!N24),2),"0,00")</f>
        <v>0</v>
      </c>
      <c r="Z25" s="310">
        <f>IFERROR(ROUND(IF(X25=0,ROUND(('Расчет участников НИР'!$H27*'счеталка премий'!R17),2)-X25,0),2),0)</f>
        <v>0</v>
      </c>
      <c r="AA25" s="306"/>
      <c r="AB25" s="756">
        <f t="shared" si="12"/>
        <v>0</v>
      </c>
      <c r="AC25" s="756">
        <f t="shared" si="4"/>
        <v>0</v>
      </c>
      <c r="AD25" s="311"/>
      <c r="AE25" s="308"/>
      <c r="AF25" s="523"/>
      <c r="AH25" s="686"/>
    </row>
    <row r="26" spans="1:34" x14ac:dyDescent="0.25">
      <c r="A26" s="247">
        <v>13</v>
      </c>
      <c r="B26" s="602">
        <f>'Состав ВТК'!$B21</f>
        <v>0</v>
      </c>
      <c r="C26" s="310" t="str">
        <f>IFERROR(VLOOKUP($B26,'Состав ВТК'!$B$9:$I$108,7,FALSE),"-")</f>
        <v>-</v>
      </c>
      <c r="D26" s="310" t="str">
        <f>IFERROR(VLOOKUP($B26,'Состав ВТК'!$B$9:$I$108,8,FALSE),"-")</f>
        <v>-</v>
      </c>
      <c r="E26" s="310">
        <f>ROUND(IF($B26='Расчет участников НИР'!$A28,'Расчет участников НИР'!$M28),2)</f>
        <v>0</v>
      </c>
      <c r="F26" s="310">
        <f>ROUND('Расчет участников НИР'!$H28*50%-$E26,2)</f>
        <v>0</v>
      </c>
      <c r="G26" s="310" t="str">
        <f t="shared" si="5"/>
        <v>0,00</v>
      </c>
      <c r="H26" s="310">
        <f>IFERROR(ROUND(IF('Состав ВТК'!P21="",IF(AND('Состав ВТК'!M21&gt;=Выплаты!$G$8,'Состав ВТК'!L21&lt;=Выплаты!$G$8),ROUND(IF('счеталка премий'!H18&lt;0,0,('Расчет участников НИР'!$H28*'счеталка премий'!O18)),2),0),IF(AND('Состав ВТК'!Q21&gt;=Выплаты!$G$8,'Состав ВТК'!P21&lt;=Выплаты!$G$8),ROUND(IF('счеталка премий'!H18&lt;0,0,('Расчет участников НИР'!$H28*'счеталка премий'!O18)),2),0)),2),0)</f>
        <v>0</v>
      </c>
      <c r="I26" s="310">
        <f>IFERROR(ROUND(IF(H26=0,ROUND(('Расчет участников НИР'!$H28*'счеталка премий'!O18),2)-H26,0),2),0)</f>
        <v>0</v>
      </c>
      <c r="J26" s="310">
        <f t="shared" si="6"/>
        <v>0</v>
      </c>
      <c r="K26" s="306"/>
      <c r="L26" s="310" t="str">
        <f t="shared" si="7"/>
        <v>0,00</v>
      </c>
      <c r="M26" s="310">
        <f>IFERROR(ROUND(IF('Состав ВТК'!P21="",IF(AND('Состав ВТК'!M21&gt;=Выплаты!$L$8,'Состав ВТК'!L21&lt;=Выплаты!$L$8),ROUND(IF('счеталка премий'!I18&lt;0,0,('Расчет участников НИР'!$H28*'счеталка премий'!P18)),2),0),IF(AND('Состав ВТК'!Q21&gt;=Выплаты!$L$8,'Состав ВТК'!P21&lt;=Выплаты!$L$8),ROUND(IF('счеталка премий'!I18&lt;0,0,('Расчет участников НИР'!$H28*'счеталка премий'!P18)),2),0)),2),0)</f>
        <v>0</v>
      </c>
      <c r="N26" s="310">
        <f>IFERROR(ROUND(IF(M26=0,ROUND(('Расчет участников НИР'!$H28*'счеталка премий'!P18),2)-M26,0),2),0)</f>
        <v>0</v>
      </c>
      <c r="O26" s="310">
        <f t="shared" si="8"/>
        <v>0</v>
      </c>
      <c r="P26" s="306"/>
      <c r="Q26" s="310" t="str">
        <f t="shared" si="9"/>
        <v>0,00</v>
      </c>
      <c r="R26" s="310">
        <f>IFERROR(ROUND(IF('Состав ВТК'!P21="",IF(AND('Состав ВТК'!M21&gt;=Выплаты!$Q$8,'Состав ВТК'!L21&lt;=Выплаты!$Q$8),ROUND(IF('счеталка премий'!J18&lt;0,0,('Расчет участников НИР'!$H28*'счеталка премий'!Q18)),2),0),IF(AND('Состав ВТК'!Q21&gt;=Выплаты!$Q$8,'Состав ВТК'!P21&lt;=Выплаты!$Q$8),ROUND(IF('счеталка премий'!J18&lt;0,0,('Расчет участников НИР'!$H28*'счеталка премий'!Q18)),2),0)),2),0)</f>
        <v>0</v>
      </c>
      <c r="S26" s="310">
        <f>IFERROR(ROUND(IF(R26=0,ROUND(('Расчет участников НИР'!$H28*'счеталка премий'!Q18),2)-R26,0),2),0)</f>
        <v>0</v>
      </c>
      <c r="T26" s="310">
        <f t="shared" si="3"/>
        <v>0</v>
      </c>
      <c r="U26" s="306"/>
      <c r="V26" s="310">
        <f t="shared" si="10"/>
        <v>0</v>
      </c>
      <c r="W26" s="310" t="str">
        <f t="shared" si="11"/>
        <v>0,00</v>
      </c>
      <c r="X26" s="310">
        <f>IFERROR(ROUND(IF('Состав ВТК'!P21="",IF('Состав ВТК'!M21&gt;=Выплаты!$V$8,ROUND(IF('счеталка премий'!K18&lt;0,0,'Расчет участников НИР'!$H28*'счеталка премий'!R18),2),0),IF('Состав ВТК'!Q21&gt;=Выплаты!$V$8,ROUND(IF('счеталка премий'!K18&lt;0,0,'Расчет участников НИР'!$H28*'счеталка премий'!R18),2),0)),2),0)</f>
        <v>0</v>
      </c>
      <c r="Y26" s="310">
        <f>IFERROR(ROUND(IF(OR(IF('Состав ВТК'!L21="",AND('Состав ВТК'!Q21&lt;=Выплаты!$V$8,'Состав ВТК'!P21&lt;Выплаты!$V$8),AND('Состав ВТК'!M21&lt;=Выплаты!$V$8,'Состав ВТК'!$K21=справочник!$A$5)),W26=0),0,$Y$12/(Распределение!$N$11-SUMIF($W$14:$W$114,0,Распределение!$N$13:$N$125))*Распределение!N25),2),"0,00")</f>
        <v>0</v>
      </c>
      <c r="Z26" s="310">
        <f>IFERROR(ROUND(IF(X26=0,ROUND(('Расчет участников НИР'!$H28*'счеталка премий'!R18),2)-X26,0),2),0)</f>
        <v>0</v>
      </c>
      <c r="AA26" s="306"/>
      <c r="AB26" s="756">
        <f t="shared" si="12"/>
        <v>0</v>
      </c>
      <c r="AC26" s="756">
        <f t="shared" si="4"/>
        <v>0</v>
      </c>
      <c r="AD26" s="311"/>
      <c r="AE26" s="308"/>
      <c r="AF26" s="523"/>
      <c r="AH26" s="686"/>
    </row>
    <row r="27" spans="1:34" x14ac:dyDescent="0.25">
      <c r="A27" s="247">
        <v>14</v>
      </c>
      <c r="B27" s="602">
        <f>'Состав ВТК'!$B22</f>
        <v>0</v>
      </c>
      <c r="C27" s="310" t="str">
        <f>IFERROR(VLOOKUP($B27,'Состав ВТК'!$B$9:$I$108,7,FALSE),"-")</f>
        <v>-</v>
      </c>
      <c r="D27" s="310" t="str">
        <f>IFERROR(VLOOKUP($B27,'Состав ВТК'!$B$9:$I$108,8,FALSE),"-")</f>
        <v>-</v>
      </c>
      <c r="E27" s="310">
        <f>ROUND(IF($B27='Расчет участников НИР'!$A29,'Расчет участников НИР'!$M29),2)</f>
        <v>0</v>
      </c>
      <c r="F27" s="310">
        <f>ROUND('Расчет участников НИР'!$H29*50%-$E27,2)</f>
        <v>0</v>
      </c>
      <c r="G27" s="310" t="str">
        <f t="shared" si="5"/>
        <v>0,00</v>
      </c>
      <c r="H27" s="310">
        <f>IFERROR(ROUND(IF('Состав ВТК'!P22="",IF(AND('Состав ВТК'!M22&gt;=Выплаты!$G$8,'Состав ВТК'!L22&lt;=Выплаты!$G$8),ROUND(IF('счеталка премий'!H19&lt;0,0,('Расчет участников НИР'!$H29*'счеталка премий'!O19)),2),0),IF(AND('Состав ВТК'!Q22&gt;=Выплаты!$G$8,'Состав ВТК'!P22&lt;=Выплаты!$G$8),ROUND(IF('счеталка премий'!H19&lt;0,0,('Расчет участников НИР'!$H29*'счеталка премий'!O19)),2),0)),2),0)</f>
        <v>0</v>
      </c>
      <c r="I27" s="310">
        <f>IFERROR(ROUND(IF(H27=0,ROUND(('Расчет участников НИР'!$H29*'счеталка премий'!O19),2)-H27,0),2),0)</f>
        <v>0</v>
      </c>
      <c r="J27" s="310">
        <f t="shared" si="6"/>
        <v>0</v>
      </c>
      <c r="K27" s="306"/>
      <c r="L27" s="310" t="str">
        <f t="shared" si="7"/>
        <v>0,00</v>
      </c>
      <c r="M27" s="310">
        <f>IFERROR(ROUND(IF('Состав ВТК'!P22="",IF(AND('Состав ВТК'!M22&gt;=Выплаты!$L$8,'Состав ВТК'!L22&lt;=Выплаты!$L$8),ROUND(IF('счеталка премий'!I19&lt;0,0,('Расчет участников НИР'!$H29*'счеталка премий'!P19)),2),0),IF(AND('Состав ВТК'!Q22&gt;=Выплаты!$L$8,'Состав ВТК'!P22&lt;=Выплаты!$L$8),ROUND(IF('счеталка премий'!I19&lt;0,0,('Расчет участников НИР'!$H29*'счеталка премий'!P19)),2),0)),2),0)</f>
        <v>0</v>
      </c>
      <c r="N27" s="310">
        <f>IFERROR(ROUND(IF(M27=0,ROUND(('Расчет участников НИР'!$H29*'счеталка премий'!P19),2)-M27,0),2),0)</f>
        <v>0</v>
      </c>
      <c r="O27" s="310">
        <f t="shared" si="8"/>
        <v>0</v>
      </c>
      <c r="P27" s="306"/>
      <c r="Q27" s="310" t="str">
        <f t="shared" si="9"/>
        <v>0,00</v>
      </c>
      <c r="R27" s="310">
        <f>IFERROR(ROUND(IF('Состав ВТК'!P22="",IF(AND('Состав ВТК'!M22&gt;=Выплаты!$Q$8,'Состав ВТК'!L22&lt;=Выплаты!$Q$8),ROUND(IF('счеталка премий'!J19&lt;0,0,('Расчет участников НИР'!$H29*'счеталка премий'!Q19)),2),0),IF(AND('Состав ВТК'!Q22&gt;=Выплаты!$Q$8,'Состав ВТК'!P22&lt;=Выплаты!$Q$8),ROUND(IF('счеталка премий'!J19&lt;0,0,('Расчет участников НИР'!$H29*'счеталка премий'!Q19)),2),0)),2),0)</f>
        <v>0</v>
      </c>
      <c r="S27" s="310">
        <f>IFERROR(ROUND(IF(R27=0,ROUND(('Расчет участников НИР'!$H29*'счеталка премий'!Q19),2)-R27,0),2),0)</f>
        <v>0</v>
      </c>
      <c r="T27" s="310">
        <f t="shared" si="3"/>
        <v>0</v>
      </c>
      <c r="U27" s="306"/>
      <c r="V27" s="310">
        <f t="shared" si="10"/>
        <v>0</v>
      </c>
      <c r="W27" s="310" t="str">
        <f t="shared" si="11"/>
        <v>0,00</v>
      </c>
      <c r="X27" s="310">
        <f>IFERROR(ROUND(IF('Состав ВТК'!P22="",IF('Состав ВТК'!M22&gt;=Выплаты!$V$8,ROUND(IF('счеталка премий'!K19&lt;0,0,'Расчет участников НИР'!$H29*'счеталка премий'!R19),2),0),IF('Состав ВТК'!Q22&gt;=Выплаты!$V$8,ROUND(IF('счеталка премий'!K19&lt;0,0,'Расчет участников НИР'!$H29*'счеталка премий'!R19),2),0)),2),0)</f>
        <v>0</v>
      </c>
      <c r="Y27" s="310">
        <f>IFERROR(ROUND(IF(OR(IF('Состав ВТК'!L22="",AND('Состав ВТК'!Q22&lt;=Выплаты!$V$8,'Состав ВТК'!P22&lt;Выплаты!$V$8),AND('Состав ВТК'!M22&lt;=Выплаты!$V$8,'Состав ВТК'!$K22=справочник!$A$5)),W27=0),0,$Y$12/(Распределение!$N$11-SUMIF($W$14:$W$114,0,Распределение!$N$13:$N$125))*Распределение!N26),2),"0,00")</f>
        <v>0</v>
      </c>
      <c r="Z27" s="310">
        <f>IFERROR(ROUND(IF(X27=0,ROUND(('Расчет участников НИР'!$H29*'счеталка премий'!R19),2)-X27,0),2),0)</f>
        <v>0</v>
      </c>
      <c r="AA27" s="306"/>
      <c r="AB27" s="756">
        <f t="shared" si="12"/>
        <v>0</v>
      </c>
      <c r="AC27" s="756">
        <f t="shared" si="4"/>
        <v>0</v>
      </c>
      <c r="AD27" s="311"/>
      <c r="AE27" s="308"/>
      <c r="AF27" s="523"/>
      <c r="AH27" s="686"/>
    </row>
    <row r="28" spans="1:34" x14ac:dyDescent="0.25">
      <c r="A28" s="247">
        <v>15</v>
      </c>
      <c r="B28" s="602">
        <f>'Состав ВТК'!$B23</f>
        <v>0</v>
      </c>
      <c r="C28" s="310" t="str">
        <f>IFERROR(VLOOKUP($B28,'Состав ВТК'!$B$9:$I$108,7,FALSE),"-")</f>
        <v>-</v>
      </c>
      <c r="D28" s="310" t="str">
        <f>IFERROR(VLOOKUP($B28,'Состав ВТК'!$B$9:$I$108,8,FALSE),"-")</f>
        <v>-</v>
      </c>
      <c r="E28" s="310">
        <f>ROUND(IF($B28='Расчет участников НИР'!$A30,'Расчет участников НИР'!$M30),2)</f>
        <v>0</v>
      </c>
      <c r="F28" s="310">
        <f>ROUND('Расчет участников НИР'!$H30*50%-$E28,2)</f>
        <v>0</v>
      </c>
      <c r="G28" s="310" t="str">
        <f t="shared" si="5"/>
        <v>0,00</v>
      </c>
      <c r="H28" s="310">
        <f>IFERROR(ROUND(IF('Состав ВТК'!P23="",IF(AND('Состав ВТК'!M23&gt;=Выплаты!$G$8,'Состав ВТК'!L23&lt;=Выплаты!$G$8),ROUND(IF('счеталка премий'!H20&lt;0,0,('Расчет участников НИР'!$H30*'счеталка премий'!O20)),2),0),IF(AND('Состав ВТК'!Q23&gt;=Выплаты!$G$8,'Состав ВТК'!P23&lt;=Выплаты!$G$8),ROUND(IF('счеталка премий'!H20&lt;0,0,('Расчет участников НИР'!$H30*'счеталка премий'!O20)),2),0)),2),0)</f>
        <v>0</v>
      </c>
      <c r="I28" s="310">
        <f>IFERROR(ROUND(IF(H28=0,ROUND(('Расчет участников НИР'!$H30*'счеталка премий'!O20),2)-H28,0),2),0)</f>
        <v>0</v>
      </c>
      <c r="J28" s="310">
        <f t="shared" si="6"/>
        <v>0</v>
      </c>
      <c r="K28" s="306"/>
      <c r="L28" s="310" t="str">
        <f t="shared" si="7"/>
        <v>0,00</v>
      </c>
      <c r="M28" s="310">
        <f>IFERROR(ROUND(IF('Состав ВТК'!P23="",IF(AND('Состав ВТК'!M23&gt;=Выплаты!$L$8,'Состав ВТК'!L23&lt;=Выплаты!$L$8),ROUND(IF('счеталка премий'!I20&lt;0,0,('Расчет участников НИР'!$H30*'счеталка премий'!P20)),2),0),IF(AND('Состав ВТК'!Q23&gt;=Выплаты!$L$8,'Состав ВТК'!P23&lt;=Выплаты!$L$8),ROUND(IF('счеталка премий'!I20&lt;0,0,('Расчет участников НИР'!$H30*'счеталка премий'!P20)),2),0)),2),0)</f>
        <v>0</v>
      </c>
      <c r="N28" s="310">
        <f>IFERROR(ROUND(IF(M28=0,ROUND(('Расчет участников НИР'!$H30*'счеталка премий'!P20),2)-M28,0),2),0)</f>
        <v>0</v>
      </c>
      <c r="O28" s="310">
        <f t="shared" si="8"/>
        <v>0</v>
      </c>
      <c r="P28" s="306"/>
      <c r="Q28" s="310" t="str">
        <f t="shared" si="9"/>
        <v>0,00</v>
      </c>
      <c r="R28" s="310">
        <f>IFERROR(ROUND(IF('Состав ВТК'!P23="",IF(AND('Состав ВТК'!M23&gt;=Выплаты!$Q$8,'Состав ВТК'!L23&lt;=Выплаты!$Q$8),ROUND(IF('счеталка премий'!J20&lt;0,0,('Расчет участников НИР'!$H30*'счеталка премий'!Q20)),2),0),IF(AND('Состав ВТК'!Q23&gt;=Выплаты!$Q$8,'Состав ВТК'!P23&lt;=Выплаты!$Q$8),ROUND(IF('счеталка премий'!J20&lt;0,0,('Расчет участников НИР'!$H30*'счеталка премий'!Q20)),2),0)),2),0)</f>
        <v>0</v>
      </c>
      <c r="S28" s="310">
        <f>IFERROR(ROUND(IF(R28=0,ROUND(('Расчет участников НИР'!$H30*'счеталка премий'!Q20),2)-R28,0),2),0)</f>
        <v>0</v>
      </c>
      <c r="T28" s="310">
        <f t="shared" si="3"/>
        <v>0</v>
      </c>
      <c r="U28" s="306"/>
      <c r="V28" s="310">
        <f t="shared" si="10"/>
        <v>0</v>
      </c>
      <c r="W28" s="310" t="str">
        <f t="shared" si="11"/>
        <v>0,00</v>
      </c>
      <c r="X28" s="310">
        <f>IFERROR(ROUND(IF('Состав ВТК'!P23="",IF('Состав ВТК'!M23&gt;=Выплаты!$V$8,ROUND(IF('счеталка премий'!K20&lt;0,0,'Расчет участников НИР'!$H30*'счеталка премий'!R20),2),0),IF('Состав ВТК'!Q23&gt;=Выплаты!$V$8,ROUND(IF('счеталка премий'!K20&lt;0,0,'Расчет участников НИР'!$H30*'счеталка премий'!R20),2),0)),2),0)</f>
        <v>0</v>
      </c>
      <c r="Y28" s="310">
        <f>IFERROR(ROUND(IF(OR(IF('Состав ВТК'!L23="",AND('Состав ВТК'!Q23&lt;=Выплаты!$V$8,'Состав ВТК'!P23&lt;Выплаты!$V$8),AND('Состав ВТК'!M23&lt;=Выплаты!$V$8,'Состав ВТК'!$K23=справочник!$A$5)),W28=0),0,$Y$12/(Распределение!$N$11-SUMIF($W$14:$W$114,0,Распределение!$N$13:$N$125))*Распределение!N27),2),"0,00")</f>
        <v>0</v>
      </c>
      <c r="Z28" s="310">
        <f>IFERROR(ROUND(IF(X28=0,ROUND(('Расчет участников НИР'!$H30*'счеталка премий'!R20),2)-X28,0),2),0)</f>
        <v>0</v>
      </c>
      <c r="AA28" s="306"/>
      <c r="AB28" s="756">
        <f t="shared" si="12"/>
        <v>0</v>
      </c>
      <c r="AC28" s="756">
        <f t="shared" si="4"/>
        <v>0</v>
      </c>
      <c r="AE28" s="308"/>
    </row>
    <row r="29" spans="1:34" x14ac:dyDescent="0.25">
      <c r="A29" s="247">
        <v>16</v>
      </c>
      <c r="B29" s="602">
        <f>'Состав ВТК'!$B24</f>
        <v>0</v>
      </c>
      <c r="C29" s="310" t="str">
        <f>IFERROR(VLOOKUP($B29,'Состав ВТК'!$B$9:$I$108,7,FALSE),"-")</f>
        <v>-</v>
      </c>
      <c r="D29" s="310" t="str">
        <f>IFERROR(VLOOKUP($B29,'Состав ВТК'!$B$9:$I$108,8,FALSE),"-")</f>
        <v>-</v>
      </c>
      <c r="E29" s="310">
        <f>ROUND(IF($B29='Расчет участников НИР'!$A31,'Расчет участников НИР'!$M31),2)</f>
        <v>0</v>
      </c>
      <c r="F29" s="310">
        <f>ROUND('Расчет участников НИР'!$H31*50%-$E29,2)</f>
        <v>0</v>
      </c>
      <c r="G29" s="310" t="str">
        <f t="shared" si="5"/>
        <v>0,00</v>
      </c>
      <c r="H29" s="310">
        <f>IFERROR(ROUND(IF('Состав ВТК'!P24="",IF(AND('Состав ВТК'!M24&gt;=Выплаты!$G$8,'Состав ВТК'!L24&lt;=Выплаты!$G$8),ROUND(IF('счеталка премий'!H21&lt;0,0,('Расчет участников НИР'!$H31*'счеталка премий'!O21)),2),0),IF(AND('Состав ВТК'!Q24&gt;=Выплаты!$G$8,'Состав ВТК'!P24&lt;=Выплаты!$G$8),ROUND(IF('счеталка премий'!H21&lt;0,0,('Расчет участников НИР'!$H31*'счеталка премий'!O21)),2),0)),2),0)</f>
        <v>0</v>
      </c>
      <c r="I29" s="310">
        <f>IFERROR(ROUND(IF(H29=0,ROUND(('Расчет участников НИР'!$H31*'счеталка премий'!O21),2)-H29,0),2),0)</f>
        <v>0</v>
      </c>
      <c r="J29" s="310">
        <f t="shared" si="6"/>
        <v>0</v>
      </c>
      <c r="K29" s="306"/>
      <c r="L29" s="310" t="str">
        <f t="shared" si="7"/>
        <v>0,00</v>
      </c>
      <c r="M29" s="310">
        <f>IFERROR(ROUND(IF('Состав ВТК'!P24="",IF(AND('Состав ВТК'!M24&gt;=Выплаты!$L$8,'Состав ВТК'!L24&lt;=Выплаты!$L$8),ROUND(IF('счеталка премий'!I21&lt;0,0,('Расчет участников НИР'!$H31*'счеталка премий'!P21)),2),0),IF(AND('Состав ВТК'!Q24&gt;=Выплаты!$L$8,'Состав ВТК'!P24&lt;=Выплаты!$L$8),ROUND(IF('счеталка премий'!I21&lt;0,0,('Расчет участников НИР'!$H31*'счеталка премий'!P21)),2),0)),2),0)</f>
        <v>0</v>
      </c>
      <c r="N29" s="310">
        <f>IFERROR(ROUND(IF(M29=0,ROUND(('Расчет участников НИР'!$H31*'счеталка премий'!P21),2)-M29,0),2),0)</f>
        <v>0</v>
      </c>
      <c r="O29" s="310">
        <f t="shared" si="8"/>
        <v>0</v>
      </c>
      <c r="P29" s="306"/>
      <c r="Q29" s="310" t="str">
        <f t="shared" si="9"/>
        <v>0,00</v>
      </c>
      <c r="R29" s="310">
        <f>IFERROR(ROUND(IF('Состав ВТК'!P24="",IF(AND('Состав ВТК'!M24&gt;=Выплаты!$Q$8,'Состав ВТК'!L24&lt;=Выплаты!$Q$8),ROUND(IF('счеталка премий'!J21&lt;0,0,('Расчет участников НИР'!$H31*'счеталка премий'!Q21)),2),0),IF(AND('Состав ВТК'!Q24&gt;=Выплаты!$Q$8,'Состав ВТК'!P24&lt;=Выплаты!$Q$8),ROUND(IF('счеталка премий'!J21&lt;0,0,('Расчет участников НИР'!$H31*'счеталка премий'!Q21)),2),0)),2),0)</f>
        <v>0</v>
      </c>
      <c r="S29" s="310">
        <f>IFERROR(ROUND(IF(R29=0,ROUND(('Расчет участников НИР'!$H31*'счеталка премий'!Q21),2)-R29,0),2),0)</f>
        <v>0</v>
      </c>
      <c r="T29" s="310">
        <f t="shared" si="3"/>
        <v>0</v>
      </c>
      <c r="U29" s="306"/>
      <c r="V29" s="310">
        <f t="shared" si="10"/>
        <v>0</v>
      </c>
      <c r="W29" s="310" t="str">
        <f t="shared" si="11"/>
        <v>0,00</v>
      </c>
      <c r="X29" s="310">
        <f>IFERROR(ROUND(IF('Состав ВТК'!P24="",IF('Состав ВТК'!M24&gt;=Выплаты!$V$8,ROUND(IF('счеталка премий'!K21&lt;0,0,'Расчет участников НИР'!$H31*'счеталка премий'!R21),2),0),IF('Состав ВТК'!Q24&gt;=Выплаты!$V$8,ROUND(IF('счеталка премий'!K21&lt;0,0,'Расчет участников НИР'!$H31*'счеталка премий'!R21),2),0)),2),0)</f>
        <v>0</v>
      </c>
      <c r="Y29" s="310">
        <f>IFERROR(ROUND(IF(OR(IF('Состав ВТК'!L24="",AND('Состав ВТК'!Q24&lt;=Выплаты!$V$8,'Состав ВТК'!P24&lt;Выплаты!$V$8),AND('Состав ВТК'!M24&lt;=Выплаты!$V$8,'Состав ВТК'!$K24=справочник!$A$5)),W29=0),0,$Y$12/(Распределение!$N$11-SUMIF($W$14:$W$114,0,Распределение!$N$13:$N$125))*Распределение!N28),2),"0,00")</f>
        <v>0</v>
      </c>
      <c r="Z29" s="310">
        <f>IFERROR(ROUND(IF(X29=0,ROUND(('Расчет участников НИР'!$H31*'счеталка премий'!R21),2)-X29,0),2),0)</f>
        <v>0</v>
      </c>
      <c r="AA29" s="306"/>
      <c r="AB29" s="756">
        <f t="shared" si="12"/>
        <v>0</v>
      </c>
      <c r="AC29" s="756">
        <f t="shared" si="4"/>
        <v>0</v>
      </c>
      <c r="AE29" s="308"/>
    </row>
    <row r="30" spans="1:34" x14ac:dyDescent="0.25">
      <c r="A30" s="247">
        <v>17</v>
      </c>
      <c r="B30" s="602">
        <f>'Состав ВТК'!$B25</f>
        <v>0</v>
      </c>
      <c r="C30" s="310" t="str">
        <f>IFERROR(VLOOKUP($B30,'Состав ВТК'!$B$9:$I$108,7,FALSE),"-")</f>
        <v>-</v>
      </c>
      <c r="D30" s="310" t="str">
        <f>IFERROR(VLOOKUP($B30,'Состав ВТК'!$B$9:$I$108,8,FALSE),"-")</f>
        <v>-</v>
      </c>
      <c r="E30" s="310">
        <f>ROUND(IF($B30='Расчет участников НИР'!$A32,'Расчет участников НИР'!$M32),2)</f>
        <v>0</v>
      </c>
      <c r="F30" s="310">
        <f>ROUND('Расчет участников НИР'!$H32*50%-$E30,2)</f>
        <v>0</v>
      </c>
      <c r="G30" s="310" t="str">
        <f t="shared" si="5"/>
        <v>0,00</v>
      </c>
      <c r="H30" s="310">
        <f>IFERROR(ROUND(IF('Состав ВТК'!P25="",IF(AND('Состав ВТК'!M25&gt;=Выплаты!$G$8,'Состав ВТК'!L25&lt;=Выплаты!$G$8),ROUND(IF('счеталка премий'!H22&lt;0,0,('Расчет участников НИР'!$H32*'счеталка премий'!O22)),2),0),IF(AND('Состав ВТК'!Q25&gt;=Выплаты!$G$8,'Состав ВТК'!P25&lt;=Выплаты!$G$8),ROUND(IF('счеталка премий'!H22&lt;0,0,('Расчет участников НИР'!$H32*'счеталка премий'!O22)),2),0)),2),0)</f>
        <v>0</v>
      </c>
      <c r="I30" s="310">
        <f>IFERROR(ROUND(IF(H30=0,ROUND(('Расчет участников НИР'!$H32*'счеталка премий'!O22),2)-H30,0),2),0)</f>
        <v>0</v>
      </c>
      <c r="J30" s="310">
        <f t="shared" si="6"/>
        <v>0</v>
      </c>
      <c r="K30" s="306"/>
      <c r="L30" s="310" t="str">
        <f t="shared" si="7"/>
        <v>0,00</v>
      </c>
      <c r="M30" s="310">
        <f>IFERROR(ROUND(IF('Состав ВТК'!P25="",IF(AND('Состав ВТК'!M25&gt;=Выплаты!$L$8,'Состав ВТК'!L25&lt;=Выплаты!$L$8),ROUND(IF('счеталка премий'!I22&lt;0,0,('Расчет участников НИР'!$H32*'счеталка премий'!P22)),2),0),IF(AND('Состав ВТК'!Q25&gt;=Выплаты!$L$8,'Состав ВТК'!P25&lt;=Выплаты!$L$8),ROUND(IF('счеталка премий'!I22&lt;0,0,('Расчет участников НИР'!$H32*'счеталка премий'!P22)),2),0)),2),0)</f>
        <v>0</v>
      </c>
      <c r="N30" s="310">
        <f>IFERROR(ROUND(IF(M30=0,ROUND(('Расчет участников НИР'!$H32*'счеталка премий'!P22),2)-M30,0),2),0)</f>
        <v>0</v>
      </c>
      <c r="O30" s="310">
        <f t="shared" si="8"/>
        <v>0</v>
      </c>
      <c r="P30" s="306"/>
      <c r="Q30" s="310" t="str">
        <f t="shared" si="9"/>
        <v>0,00</v>
      </c>
      <c r="R30" s="310">
        <f>IFERROR(ROUND(IF('Состав ВТК'!P25="",IF(AND('Состав ВТК'!M25&gt;=Выплаты!$Q$8,'Состав ВТК'!L25&lt;=Выплаты!$Q$8),ROUND(IF('счеталка премий'!J22&lt;0,0,('Расчет участников НИР'!$H32*'счеталка премий'!Q22)),2),0),IF(AND('Состав ВТК'!Q25&gt;=Выплаты!$Q$8,'Состав ВТК'!P25&lt;=Выплаты!$Q$8),ROUND(IF('счеталка премий'!J22&lt;0,0,('Расчет участников НИР'!$H32*'счеталка премий'!Q22)),2),0)),2),0)</f>
        <v>0</v>
      </c>
      <c r="S30" s="310">
        <f>IFERROR(ROUND(IF(R30=0,ROUND(('Расчет участников НИР'!$H32*'счеталка премий'!Q22),2)-R30,0),2),0)</f>
        <v>0</v>
      </c>
      <c r="T30" s="310">
        <f t="shared" si="3"/>
        <v>0</v>
      </c>
      <c r="U30" s="306"/>
      <c r="V30" s="310">
        <f t="shared" si="10"/>
        <v>0</v>
      </c>
      <c r="W30" s="310" t="str">
        <f t="shared" si="11"/>
        <v>0,00</v>
      </c>
      <c r="X30" s="310">
        <f>IFERROR(ROUND(IF('Состав ВТК'!P25="",IF('Состав ВТК'!M25&gt;=Выплаты!$V$8,ROUND(IF('счеталка премий'!K22&lt;0,0,'Расчет участников НИР'!$H32*'счеталка премий'!R22),2),0),IF('Состав ВТК'!Q25&gt;=Выплаты!$V$8,ROUND(IF('счеталка премий'!K22&lt;0,0,'Расчет участников НИР'!$H32*'счеталка премий'!R22),2),0)),2),0)</f>
        <v>0</v>
      </c>
      <c r="Y30" s="310">
        <f>IFERROR(ROUND(IF(OR(IF('Состав ВТК'!L25="",AND('Состав ВТК'!Q25&lt;=Выплаты!$V$8,'Состав ВТК'!P25&lt;Выплаты!$V$8),AND('Состав ВТК'!M25&lt;=Выплаты!$V$8,'Состав ВТК'!$K25=справочник!$A$5)),W30=0),0,$Y$12/(Распределение!$N$11-SUMIF($W$14:$W$114,0,Распределение!$N$13:$N$125))*Распределение!N29),2),"0,00")</f>
        <v>0</v>
      </c>
      <c r="Z30" s="310">
        <f>IFERROR(ROUND(IF(X30=0,ROUND(('Расчет участников НИР'!$H32*'счеталка премий'!R22),2)-X30,0),2),0)</f>
        <v>0</v>
      </c>
      <c r="AA30" s="306"/>
      <c r="AB30" s="756">
        <f t="shared" si="12"/>
        <v>0</v>
      </c>
      <c r="AC30" s="756">
        <f t="shared" si="4"/>
        <v>0</v>
      </c>
      <c r="AE30" s="308"/>
    </row>
    <row r="31" spans="1:34" hidden="1" x14ac:dyDescent="0.25">
      <c r="A31" s="247">
        <v>18</v>
      </c>
      <c r="B31" s="602">
        <f>'Состав ВТК'!$B26</f>
        <v>0</v>
      </c>
      <c r="C31" s="310" t="str">
        <f>IFERROR(VLOOKUP($B31,'Состав ВТК'!$B$9:$I$108,7,FALSE),"-")</f>
        <v>-</v>
      </c>
      <c r="D31" s="310" t="str">
        <f>IFERROR(VLOOKUP($B31,'Состав ВТК'!$B$9:$I$108,8,FALSE),"-")</f>
        <v>-</v>
      </c>
      <c r="E31" s="310">
        <f>ROUND(IF($B31='Расчет участников НИР'!$A33,'Расчет участников НИР'!$M33),2)</f>
        <v>0</v>
      </c>
      <c r="F31" s="310">
        <f>ROUND('Расчет участников НИР'!$H33*50%-$E31,2)</f>
        <v>0</v>
      </c>
      <c r="G31" s="310" t="str">
        <f t="shared" si="5"/>
        <v>0,00</v>
      </c>
      <c r="H31" s="310">
        <f>IFERROR(ROUND(IF('Состав ВТК'!P26="",IF(AND('Состав ВТК'!M26&gt;=Выплаты!$G$8,'Состав ВТК'!L26&lt;=Выплаты!$G$8),ROUND(IF('счеталка премий'!H23&lt;0,0,('Расчет участников НИР'!$H33*'счеталка премий'!O23)),2),0),IF(AND('Состав ВТК'!Q26&gt;=Выплаты!$G$8,'Состав ВТК'!P26&lt;=Выплаты!$G$8),ROUND(IF('счеталка премий'!H23&lt;0,0,('Расчет участников НИР'!$H33*'счеталка премий'!O23)),2),0)),2),0)</f>
        <v>0</v>
      </c>
      <c r="I31" s="310">
        <f>IFERROR(ROUND(IF(H31=0,ROUND(('Расчет участников НИР'!$H33*'счеталка премий'!O23),2)-H31,0),2),0)</f>
        <v>0</v>
      </c>
      <c r="J31" s="310">
        <f t="shared" si="6"/>
        <v>0</v>
      </c>
      <c r="K31" s="306"/>
      <c r="L31" s="310" t="str">
        <f t="shared" si="7"/>
        <v>0,00</v>
      </c>
      <c r="M31" s="310">
        <f>IFERROR(ROUND(IF('Состав ВТК'!P26="",IF(AND('Состав ВТК'!M26&gt;=Выплаты!$L$8,'Состав ВТК'!L26&lt;=Выплаты!$L$8),ROUND(IF('счеталка премий'!I23&lt;0,0,('Расчет участников НИР'!$H33*'счеталка премий'!P23)),2),0),IF(AND('Состав ВТК'!Q26&gt;=Выплаты!$L$8,'Состав ВТК'!P26&lt;=Выплаты!$L$8),ROUND(IF('счеталка премий'!I23&lt;0,0,('Расчет участников НИР'!$H33*'счеталка премий'!P23)),2),0)),2),0)</f>
        <v>0</v>
      </c>
      <c r="N31" s="310">
        <f>IFERROR(ROUND(IF(M31=0,ROUND(('Расчет участников НИР'!$H33*'счеталка премий'!P23),2)-M31,0),2),0)</f>
        <v>0</v>
      </c>
      <c r="O31" s="310">
        <f t="shared" si="8"/>
        <v>0</v>
      </c>
      <c r="P31" s="306"/>
      <c r="Q31" s="310" t="str">
        <f t="shared" si="9"/>
        <v>0,00</v>
      </c>
      <c r="R31" s="310">
        <f>IFERROR(ROUND(IF('Состав ВТК'!P26="",IF(AND('Состав ВТК'!M26&gt;=Выплаты!$Q$8,'Состав ВТК'!L26&lt;=Выплаты!$Q$8),ROUND(IF('счеталка премий'!J23&lt;0,0,('Расчет участников НИР'!$H33*'счеталка премий'!Q23)),2),0),IF(AND('Состав ВТК'!Q26&gt;=Выплаты!$Q$8,'Состав ВТК'!P26&lt;=Выплаты!$Q$8),ROUND(IF('счеталка премий'!J23&lt;0,0,('Расчет участников НИР'!$H33*'счеталка премий'!Q23)),2),0)),2),0)</f>
        <v>0</v>
      </c>
      <c r="S31" s="310">
        <f>IFERROR(ROUND(IF(R31=0,ROUND(('Расчет участников НИР'!$H33*'счеталка премий'!Q23),2)-R31,0),2),0)</f>
        <v>0</v>
      </c>
      <c r="T31" s="310">
        <f t="shared" si="3"/>
        <v>0</v>
      </c>
      <c r="U31" s="306"/>
      <c r="V31" s="310">
        <f t="shared" si="10"/>
        <v>0</v>
      </c>
      <c r="W31" s="310" t="str">
        <f t="shared" si="11"/>
        <v>0,00</v>
      </c>
      <c r="X31" s="310">
        <f>IFERROR(ROUND(IF('Состав ВТК'!P26="",IF('Состав ВТК'!M26&gt;=Выплаты!$V$8,ROUND(IF('счеталка премий'!K23&lt;0,0,'Расчет участников НИР'!$H33*'счеталка премий'!R23),2),0),IF('Состав ВТК'!Q26&gt;=Выплаты!$V$8,ROUND(IF('счеталка премий'!K23&lt;0,0,'Расчет участников НИР'!$H33*'счеталка премий'!R23),2),0)),2),0)</f>
        <v>0</v>
      </c>
      <c r="Y31" s="310">
        <f>IFERROR(ROUND(IF(OR(IF('Состав ВТК'!L26="",AND('Состав ВТК'!Q26&lt;=Выплаты!$V$8,'Состав ВТК'!P26&lt;Выплаты!$V$8),AND('Состав ВТК'!M26&lt;=Выплаты!$V$8,'Состав ВТК'!$K26=справочник!$A$5)),W31=0),0,$Y$12/(Распределение!$N$11-SUMIF($W$14:$W$114,0,Распределение!$N$13:$N$125))*Распределение!N30),2),"0,00")</f>
        <v>0</v>
      </c>
      <c r="Z31" s="310">
        <f>IFERROR(ROUND(IF(X31=0,ROUND(('Расчет участников НИР'!$H33*'счеталка премий'!R23),2)-X31,0),2),0)</f>
        <v>0</v>
      </c>
      <c r="AA31" s="306"/>
      <c r="AB31" s="756">
        <f t="shared" si="12"/>
        <v>0</v>
      </c>
      <c r="AC31" s="756">
        <f t="shared" si="4"/>
        <v>0</v>
      </c>
      <c r="AE31" s="308"/>
    </row>
    <row r="32" spans="1:34" hidden="1" x14ac:dyDescent="0.25">
      <c r="A32" s="247">
        <v>19</v>
      </c>
      <c r="B32" s="602">
        <f>'Состав ВТК'!$B27</f>
        <v>0</v>
      </c>
      <c r="C32" s="310" t="str">
        <f>IFERROR(VLOOKUP($B32,'Состав ВТК'!$B$9:$I$108,7,FALSE),"-")</f>
        <v>-</v>
      </c>
      <c r="D32" s="310" t="str">
        <f>IFERROR(VLOOKUP($B32,'Состав ВТК'!$B$9:$I$108,8,FALSE),"-")</f>
        <v>-</v>
      </c>
      <c r="E32" s="310">
        <f>ROUND(IF($B32='Расчет участников НИР'!$A34,'Расчет участников НИР'!$M34),2)</f>
        <v>0</v>
      </c>
      <c r="F32" s="310">
        <f>ROUND('Расчет участников НИР'!$H34*50%-$E32,2)</f>
        <v>0</v>
      </c>
      <c r="G32" s="310" t="str">
        <f t="shared" si="5"/>
        <v>0,00</v>
      </c>
      <c r="H32" s="310">
        <f>IFERROR(ROUND(IF('Состав ВТК'!P27="",IF(AND('Состав ВТК'!M27&gt;=Выплаты!$G$8,'Состав ВТК'!L27&lt;=Выплаты!$G$8),ROUND(IF('счеталка премий'!H24&lt;0,0,('Расчет участников НИР'!$H34*'счеталка премий'!O24)),2),0),IF(AND('Состав ВТК'!Q27&gt;=Выплаты!$G$8,'Состав ВТК'!P27&lt;=Выплаты!$G$8),ROUND(IF('счеталка премий'!H24&lt;0,0,('Расчет участников НИР'!$H34*'счеталка премий'!O24)),2),0)),2),0)</f>
        <v>0</v>
      </c>
      <c r="I32" s="310">
        <f>IFERROR(ROUND(IF(H32=0,ROUND(('Расчет участников НИР'!$H34*'счеталка премий'!O24),2)-H32,0),2),0)</f>
        <v>0</v>
      </c>
      <c r="J32" s="310">
        <f t="shared" si="6"/>
        <v>0</v>
      </c>
      <c r="K32" s="306"/>
      <c r="L32" s="310" t="str">
        <f t="shared" si="7"/>
        <v>0,00</v>
      </c>
      <c r="M32" s="310">
        <f>IFERROR(ROUND(IF('Состав ВТК'!P27="",IF(AND('Состав ВТК'!M27&gt;=Выплаты!$L$8,'Состав ВТК'!L27&lt;=Выплаты!$L$8),ROUND(IF('счеталка премий'!I24&lt;0,0,('Расчет участников НИР'!$H34*'счеталка премий'!P24)),2),0),IF(AND('Состав ВТК'!Q27&gt;=Выплаты!$L$8,'Состав ВТК'!P27&lt;=Выплаты!$L$8),ROUND(IF('счеталка премий'!I24&lt;0,0,('Расчет участников НИР'!$H34*'счеталка премий'!P24)),2),0)),2),0)</f>
        <v>0</v>
      </c>
      <c r="N32" s="310">
        <f>IFERROR(ROUND(IF(M32=0,ROUND(('Расчет участников НИР'!$H34*'счеталка премий'!P24),2)-M32,0),2),0)</f>
        <v>0</v>
      </c>
      <c r="O32" s="310">
        <f t="shared" si="8"/>
        <v>0</v>
      </c>
      <c r="P32" s="306"/>
      <c r="Q32" s="310" t="str">
        <f t="shared" si="9"/>
        <v>0,00</v>
      </c>
      <c r="R32" s="310">
        <f>IFERROR(ROUND(IF('Состав ВТК'!P27="",IF(AND('Состав ВТК'!M27&gt;=Выплаты!$Q$8,'Состав ВТК'!L27&lt;=Выплаты!$Q$8),ROUND(IF('счеталка премий'!J24&lt;0,0,('Расчет участников НИР'!$H34*'счеталка премий'!Q24)),2),0),IF(AND('Состав ВТК'!Q27&gt;=Выплаты!$Q$8,'Состав ВТК'!P27&lt;=Выплаты!$Q$8),ROUND(IF('счеталка премий'!J24&lt;0,0,('Расчет участников НИР'!$H34*'счеталка премий'!Q24)),2),0)),2),0)</f>
        <v>0</v>
      </c>
      <c r="S32" s="310">
        <f>IFERROR(ROUND(IF(R32=0,ROUND(('Расчет участников НИР'!$H34*'счеталка премий'!Q24),2)-R32,0),2),0)</f>
        <v>0</v>
      </c>
      <c r="T32" s="310">
        <f t="shared" si="3"/>
        <v>0</v>
      </c>
      <c r="U32" s="306"/>
      <c r="V32" s="310">
        <f t="shared" si="10"/>
        <v>0</v>
      </c>
      <c r="W32" s="310" t="str">
        <f t="shared" si="11"/>
        <v>0,00</v>
      </c>
      <c r="X32" s="310">
        <f>IFERROR(ROUND(IF('Состав ВТК'!P27="",IF('Состав ВТК'!M27&gt;=Выплаты!$V$8,ROUND(IF('счеталка премий'!K24&lt;0,0,'Расчет участников НИР'!$H34*'счеталка премий'!R24),2),0),IF('Состав ВТК'!Q27&gt;=Выплаты!$V$8,ROUND(IF('счеталка премий'!K24&lt;0,0,'Расчет участников НИР'!$H34*'счеталка премий'!R24),2),0)),2),0)</f>
        <v>0</v>
      </c>
      <c r="Y32" s="310">
        <f>IFERROR(ROUND(IF(OR(IF('Состав ВТК'!L27="",AND('Состав ВТК'!Q27&lt;=Выплаты!$V$8,'Состав ВТК'!P27&lt;Выплаты!$V$8),AND('Состав ВТК'!M27&lt;=Выплаты!$V$8,'Состав ВТК'!$K27=справочник!$A$5)),W32=0),0,$Y$12/(Распределение!$N$11-SUMIF($W$14:$W$114,0,Распределение!$N$13:$N$125))*Распределение!N31),2),"0,00")</f>
        <v>0</v>
      </c>
      <c r="Z32" s="310">
        <f>IFERROR(ROUND(IF(X32=0,ROUND(('Расчет участников НИР'!$H34*'счеталка премий'!R24),2)-X32,0),2),0)</f>
        <v>0</v>
      </c>
      <c r="AA32" s="306"/>
      <c r="AB32" s="756">
        <f t="shared" si="12"/>
        <v>0</v>
      </c>
      <c r="AC32" s="756">
        <f t="shared" si="4"/>
        <v>0</v>
      </c>
      <c r="AE32" s="308"/>
    </row>
    <row r="33" spans="1:31" hidden="1" x14ac:dyDescent="0.25">
      <c r="A33" s="247">
        <v>20</v>
      </c>
      <c r="B33" s="602">
        <f>'Состав ВТК'!$B28</f>
        <v>0</v>
      </c>
      <c r="C33" s="310" t="str">
        <f>IFERROR(VLOOKUP($B33,'Состав ВТК'!$B$9:$I$108,7,FALSE),"-")</f>
        <v>-</v>
      </c>
      <c r="D33" s="310" t="str">
        <f>IFERROR(VLOOKUP($B33,'Состав ВТК'!$B$9:$I$108,8,FALSE),"-")</f>
        <v>-</v>
      </c>
      <c r="E33" s="310">
        <f>ROUND(IF($B33='Расчет участников НИР'!$A35,'Расчет участников НИР'!$M35),2)</f>
        <v>0</v>
      </c>
      <c r="F33" s="310">
        <f>ROUND('Расчет участников НИР'!$H35*50%-$E33,2)</f>
        <v>0</v>
      </c>
      <c r="G33" s="310" t="str">
        <f t="shared" si="5"/>
        <v>0,00</v>
      </c>
      <c r="H33" s="310">
        <f>IFERROR(ROUND(IF('Состав ВТК'!P28="",IF(AND('Состав ВТК'!M28&gt;=Выплаты!$G$8,'Состав ВТК'!L28&lt;=Выплаты!$G$8),ROUND(IF('счеталка премий'!H25&lt;0,0,('Расчет участников НИР'!$H35*'счеталка премий'!O25)),2),0),IF(AND('Состав ВТК'!Q28&gt;=Выплаты!$G$8,'Состав ВТК'!P28&lt;=Выплаты!$G$8),ROUND(IF('счеталка премий'!H25&lt;0,0,('Расчет участников НИР'!$H35*'счеталка премий'!O25)),2),0)),2),0)</f>
        <v>0</v>
      </c>
      <c r="I33" s="310">
        <f>IFERROR(ROUND(IF(H33=0,ROUND(('Расчет участников НИР'!$H35*'счеталка премий'!O25),2)-H33,0),2),0)</f>
        <v>0</v>
      </c>
      <c r="J33" s="310">
        <f t="shared" si="6"/>
        <v>0</v>
      </c>
      <c r="K33" s="306"/>
      <c r="L33" s="310" t="str">
        <f t="shared" si="7"/>
        <v>0,00</v>
      </c>
      <c r="M33" s="310">
        <f>IFERROR(ROUND(IF('Состав ВТК'!P28="",IF(AND('Состав ВТК'!M28&gt;=Выплаты!$L$8,'Состав ВТК'!L28&lt;=Выплаты!$L$8),ROUND(IF('счеталка премий'!I25&lt;0,0,('Расчет участников НИР'!$H35*'счеталка премий'!P25)),2),0),IF(AND('Состав ВТК'!Q28&gt;=Выплаты!$L$8,'Состав ВТК'!P28&lt;=Выплаты!$L$8),ROUND(IF('счеталка премий'!I25&lt;0,0,('Расчет участников НИР'!$H35*'счеталка премий'!P25)),2),0)),2),0)</f>
        <v>0</v>
      </c>
      <c r="N33" s="310">
        <f>IFERROR(ROUND(IF(M33=0,ROUND(('Расчет участников НИР'!$H35*'счеталка премий'!P25),2)-M33,0),2),0)</f>
        <v>0</v>
      </c>
      <c r="O33" s="310">
        <f t="shared" si="8"/>
        <v>0</v>
      </c>
      <c r="P33" s="306"/>
      <c r="Q33" s="310" t="str">
        <f t="shared" si="9"/>
        <v>0,00</v>
      </c>
      <c r="R33" s="310">
        <f>IFERROR(ROUND(IF('Состав ВТК'!P28="",IF(AND('Состав ВТК'!M28&gt;=Выплаты!$Q$8,'Состав ВТК'!L28&lt;=Выплаты!$Q$8),ROUND(IF('счеталка премий'!J25&lt;0,0,('Расчет участников НИР'!$H35*'счеталка премий'!Q25)),2),0),IF(AND('Состав ВТК'!Q28&gt;=Выплаты!$Q$8,'Состав ВТК'!P28&lt;=Выплаты!$Q$8),ROUND(IF('счеталка премий'!J25&lt;0,0,('Расчет участников НИР'!$H35*'счеталка премий'!Q25)),2),0)),2),0)</f>
        <v>0</v>
      </c>
      <c r="S33" s="310">
        <f>IFERROR(ROUND(IF(R33=0,ROUND(('Расчет участников НИР'!$H35*'счеталка премий'!Q25),2)-R33,0),2),0)</f>
        <v>0</v>
      </c>
      <c r="T33" s="310">
        <f t="shared" si="3"/>
        <v>0</v>
      </c>
      <c r="U33" s="306"/>
      <c r="V33" s="310">
        <f t="shared" si="10"/>
        <v>0</v>
      </c>
      <c r="W33" s="310" t="str">
        <f t="shared" si="11"/>
        <v>0,00</v>
      </c>
      <c r="X33" s="310">
        <f>IFERROR(ROUND(IF('Состав ВТК'!P28="",IF('Состав ВТК'!M28&gt;=Выплаты!$V$8,ROUND(IF('счеталка премий'!K25&lt;0,0,'Расчет участников НИР'!$H35*'счеталка премий'!R25),2),0),IF('Состав ВТК'!Q28&gt;=Выплаты!$V$8,ROUND(IF('счеталка премий'!K25&lt;0,0,'Расчет участников НИР'!$H35*'счеталка премий'!R25),2),0)),2),0)</f>
        <v>0</v>
      </c>
      <c r="Y33" s="310">
        <f>IFERROR(ROUND(IF(OR(IF('Состав ВТК'!L28="",AND('Состав ВТК'!Q28&lt;=Выплаты!$V$8,'Состав ВТК'!P28&lt;Выплаты!$V$8),AND('Состав ВТК'!M28&lt;=Выплаты!$V$8,'Состав ВТК'!$K28=справочник!$A$5)),W33=0),0,$Y$12/(Распределение!$N$11-SUMIF($W$14:$W$114,0,Распределение!$N$13:$N$125))*Распределение!N32),2),"0,00")</f>
        <v>0</v>
      </c>
      <c r="Z33" s="310">
        <f>IFERROR(ROUND(IF(X33=0,ROUND(('Расчет участников НИР'!$H35*'счеталка премий'!R25),2)-X33,0),2),0)</f>
        <v>0</v>
      </c>
      <c r="AA33" s="306"/>
      <c r="AB33" s="756">
        <f t="shared" si="12"/>
        <v>0</v>
      </c>
      <c r="AC33" s="756">
        <f t="shared" si="4"/>
        <v>0</v>
      </c>
      <c r="AE33" s="308"/>
    </row>
    <row r="34" spans="1:31" hidden="1" x14ac:dyDescent="0.25">
      <c r="A34" s="247">
        <v>21</v>
      </c>
      <c r="B34" s="602">
        <f>'Состав ВТК'!$B29</f>
        <v>0</v>
      </c>
      <c r="C34" s="310" t="str">
        <f>IFERROR(VLOOKUP($B34,'Состав ВТК'!$B$9:$I$108,7,FALSE),"-")</f>
        <v>-</v>
      </c>
      <c r="D34" s="310" t="str">
        <f>IFERROR(VLOOKUP($B34,'Состав ВТК'!$B$9:$I$108,8,FALSE),"-")</f>
        <v>-</v>
      </c>
      <c r="E34" s="310">
        <f>ROUND(IF($B34='Расчет участников НИР'!$A36,'Расчет участников НИР'!$M36),2)</f>
        <v>0</v>
      </c>
      <c r="F34" s="310">
        <f>ROUND('Расчет участников НИР'!$H36*50%-$E34,2)</f>
        <v>0</v>
      </c>
      <c r="G34" s="310" t="str">
        <f t="shared" si="5"/>
        <v>0,00</v>
      </c>
      <c r="H34" s="310">
        <f>IFERROR(ROUND(IF('Состав ВТК'!P29="",IF(AND('Состав ВТК'!M29&gt;=Выплаты!$G$8,'Состав ВТК'!L29&lt;=Выплаты!$G$8),ROUND(('Расчет участников НИР'!$H36*'счеталка премий'!O26),2),0),IF(AND('Состав ВТК'!Q29&gt;=Выплаты!$G$8,'Состав ВТК'!P29&lt;=Выплаты!$G$8),ROUND(('Расчет участников НИР'!$H36*'счеталка премий'!O26),2),0)),2),0)</f>
        <v>0</v>
      </c>
      <c r="I34" s="310">
        <f>IFERROR(ROUND(IF(H34=0,ROUND(('Расчет участников НИР'!$H36*'счеталка премий'!O26),2)-H34,0),2),0)</f>
        <v>0</v>
      </c>
      <c r="J34" s="310">
        <f t="shared" si="6"/>
        <v>0</v>
      </c>
      <c r="K34" s="306"/>
      <c r="L34" s="310" t="str">
        <f t="shared" si="7"/>
        <v>0,00</v>
      </c>
      <c r="M34" s="310">
        <f>IFERROR(ROUND(IF('Состав ВТК'!P29="",IF(AND('Состав ВТК'!M29&gt;=Выплаты!$L$8,'Состав ВТК'!L29&lt;=Выплаты!$L$8),ROUND(IF('счеталка премий'!I26&lt;0,0,('Расчет участников НИР'!$H36*'счеталка премий'!P26)),2),0),IF(AND('Состав ВТК'!Q29&gt;=Выплаты!$L$8,'Состав ВТК'!P29&lt;=Выплаты!$L$8),ROUND(IF('счеталка премий'!I26&lt;0,0,('Расчет участников НИР'!$H36*'счеталка премий'!P26)),2),0)),2),0)</f>
        <v>0</v>
      </c>
      <c r="N34" s="310">
        <f>IFERROR(ROUND(IF(M34=0,ROUND(('Расчет участников НИР'!$H36*'счеталка премий'!P26),2)-M34,0),2),0)</f>
        <v>0</v>
      </c>
      <c r="O34" s="310">
        <f t="shared" si="8"/>
        <v>0</v>
      </c>
      <c r="P34" s="306"/>
      <c r="Q34" s="310" t="str">
        <f t="shared" si="9"/>
        <v>0,00</v>
      </c>
      <c r="R34" s="310">
        <f>IFERROR(ROUND(IF('Состав ВТК'!P29="",IF(AND('Состав ВТК'!M29&gt;=Выплаты!$Q$8,'Состав ВТК'!L29&lt;=Выплаты!$Q$8),ROUND(IF('счеталка премий'!J26&lt;0,0,('Расчет участников НИР'!$H36*'счеталка премий'!Q26)),2),0),IF(AND('Состав ВТК'!Q29&gt;=Выплаты!$Q$8,'Состав ВТК'!P29&lt;=Выплаты!$Q$8),ROUND(IF('счеталка премий'!J26&lt;0,0,('Расчет участников НИР'!$H36*'счеталка премий'!Q26)),2),0)),2),0)</f>
        <v>0</v>
      </c>
      <c r="S34" s="310">
        <f>IFERROR(ROUND(IF(R34=0,ROUND(('Расчет участников НИР'!$H36*'счеталка премий'!Q26),2)-R34,0),2),0)</f>
        <v>0</v>
      </c>
      <c r="T34" s="310">
        <f t="shared" si="3"/>
        <v>0</v>
      </c>
      <c r="U34" s="306"/>
      <c r="V34" s="310">
        <f t="shared" si="10"/>
        <v>0</v>
      </c>
      <c r="W34" s="310" t="str">
        <f t="shared" si="11"/>
        <v>0,00</v>
      </c>
      <c r="X34" s="310">
        <f>IFERROR(ROUND(IF('Состав ВТК'!P29="",IF('Состав ВТК'!M29&gt;=Выплаты!$V$8,ROUND(IF('счеталка премий'!K26&lt;0,0,'Расчет участников НИР'!$H36*'счеталка премий'!R26),2),0),IF('Состав ВТК'!Q29&gt;=Выплаты!$V$8,ROUND(IF('счеталка премий'!K26&lt;0,0,'Расчет участников НИР'!$H36*'счеталка премий'!R26),2),0)),2),0)</f>
        <v>0</v>
      </c>
      <c r="Y34" s="310">
        <f>IFERROR(ROUND(IF(OR(IF('Состав ВТК'!L29="",AND('Состав ВТК'!Q29&lt;=Выплаты!$V$8,'Состав ВТК'!P29&lt;Выплаты!$V$8),AND('Состав ВТК'!M29&lt;=Выплаты!$V$8,'Состав ВТК'!$K29=справочник!$A$5)),W34=0),0,$Y$12/(Распределение!$N$11-SUMIF($W$14:$W$114,0,Распределение!$N$13:$N$125))*Распределение!N33),2),"0,00")</f>
        <v>0</v>
      </c>
      <c r="Z34" s="310">
        <f>IFERROR(ROUND(IF(X34=0,ROUND(('Расчет участников НИР'!$H36*'счеталка премий'!R26),2)-X34,0),2),0)</f>
        <v>0</v>
      </c>
      <c r="AA34" s="306"/>
      <c r="AB34" s="309">
        <f t="shared" si="12"/>
        <v>0</v>
      </c>
      <c r="AC34" s="309">
        <f t="shared" si="4"/>
        <v>0</v>
      </c>
      <c r="AE34" s="308"/>
    </row>
    <row r="35" spans="1:31" hidden="1" x14ac:dyDescent="0.25">
      <c r="A35" s="247">
        <v>22</v>
      </c>
      <c r="B35" s="602">
        <f>'Состав ВТК'!$B30</f>
        <v>0</v>
      </c>
      <c r="C35" s="310" t="str">
        <f>IFERROR(VLOOKUP($B35,'Состав ВТК'!$B$9:$I$108,7,FALSE),"-")</f>
        <v>-</v>
      </c>
      <c r="D35" s="310" t="str">
        <f>IFERROR(VLOOKUP($B35,'Состав ВТК'!$B$9:$I$108,8,FALSE),"-")</f>
        <v>-</v>
      </c>
      <c r="E35" s="310">
        <f>ROUND(IF($B35='Расчет участников НИР'!$A37,'Расчет участников НИР'!$M37),2)</f>
        <v>0</v>
      </c>
      <c r="F35" s="310">
        <f>ROUND('Расчет участников НИР'!$H37*50%-$E35,2)</f>
        <v>0</v>
      </c>
      <c r="G35" s="310" t="str">
        <f t="shared" si="5"/>
        <v>0,00</v>
      </c>
      <c r="H35" s="310">
        <f>IFERROR(ROUND(IF('Состав ВТК'!P30="",IF(AND('Состав ВТК'!M30&gt;=Выплаты!$G$8,'Состав ВТК'!L30&lt;=Выплаты!$G$8),ROUND(('Расчет участников НИР'!$H37*'счеталка премий'!O27),2),0),IF(AND('Состав ВТК'!Q30&gt;=Выплаты!$G$8,'Состав ВТК'!P30&lt;=Выплаты!$G$8),ROUND(('Расчет участников НИР'!$H37*'счеталка премий'!O27),2),0)),2),0)</f>
        <v>0</v>
      </c>
      <c r="I35" s="310">
        <f>IFERROR(ROUND(IF(H35=0,ROUND(('Расчет участников НИР'!$H37*'счеталка премий'!O27),2)-H35,0),2),0)</f>
        <v>0</v>
      </c>
      <c r="J35" s="310">
        <f t="shared" si="6"/>
        <v>0</v>
      </c>
      <c r="K35" s="306"/>
      <c r="L35" s="310" t="str">
        <f t="shared" si="7"/>
        <v>0,00</v>
      </c>
      <c r="M35" s="310">
        <f>IFERROR(ROUND(IF('Состав ВТК'!P30="",IF(AND('Состав ВТК'!M30&gt;=Выплаты!$L$8,'Состав ВТК'!L30&lt;=Выплаты!$L$8),ROUND(IF('счеталка премий'!I27&lt;0,0,('Расчет участников НИР'!$H37*'счеталка премий'!P27)),2),0),IF(AND('Состав ВТК'!Q30&gt;=Выплаты!$L$8,'Состав ВТК'!P30&lt;=Выплаты!$L$8),ROUND(IF('счеталка премий'!I27&lt;0,0,('Расчет участников НИР'!$H37*'счеталка премий'!P27)),2),0)),2),0)</f>
        <v>0</v>
      </c>
      <c r="N35" s="310">
        <f>IFERROR(ROUND(IF(M35=0,ROUND(('Расчет участников НИР'!$H37*'счеталка премий'!P27),2)-M35,0),2),0)</f>
        <v>0</v>
      </c>
      <c r="O35" s="310">
        <f t="shared" si="8"/>
        <v>0</v>
      </c>
      <c r="P35" s="306"/>
      <c r="Q35" s="310" t="str">
        <f t="shared" si="9"/>
        <v>0,00</v>
      </c>
      <c r="R35" s="310">
        <f>IFERROR(ROUND(IF('Состав ВТК'!P30="",IF(AND('Состав ВТК'!M30&gt;=Выплаты!$Q$8,'Состав ВТК'!L30&lt;=Выплаты!$Q$8),ROUND(IF('счеталка премий'!J27&lt;0,0,('Расчет участников НИР'!$H37*'счеталка премий'!Q27)),2),0),IF(AND('Состав ВТК'!Q30&gt;=Выплаты!$Q$8,'Состав ВТК'!P30&lt;=Выплаты!$Q$8),ROUND(IF('счеталка премий'!J27&lt;0,0,('Расчет участников НИР'!$H37*'счеталка премий'!Q27)),2),0)),2),0)</f>
        <v>0</v>
      </c>
      <c r="S35" s="310">
        <f>IFERROR(ROUND(IF(R35=0,ROUND(('Расчет участников НИР'!$H37*'счеталка премий'!Q27),2)-R35,0),2),0)</f>
        <v>0</v>
      </c>
      <c r="T35" s="310">
        <f t="shared" si="3"/>
        <v>0</v>
      </c>
      <c r="U35" s="306"/>
      <c r="V35" s="310">
        <f t="shared" si="10"/>
        <v>0</v>
      </c>
      <c r="W35" s="310" t="str">
        <f t="shared" si="11"/>
        <v>0,00</v>
      </c>
      <c r="X35" s="310">
        <f>IFERROR(ROUND(IF('Состав ВТК'!P30="",IF('Состав ВТК'!M30&gt;=Выплаты!$V$8,ROUND(IF('счеталка премий'!K27&lt;0,0,'Расчет участников НИР'!$H37*'счеталка премий'!R27),2),0),IF('Состав ВТК'!Q30&gt;=Выплаты!$V$8,ROUND(IF('счеталка премий'!K27&lt;0,0,'Расчет участников НИР'!$H37*'счеталка премий'!R27),2),0)),2),0)</f>
        <v>0</v>
      </c>
      <c r="Y35" s="310">
        <f>IFERROR(ROUND(IF(OR(IF('Состав ВТК'!L30="",AND('Состав ВТК'!Q30&lt;=Выплаты!$V$8,'Состав ВТК'!P30&lt;Выплаты!$V$8),AND('Состав ВТК'!M30&lt;=Выплаты!$V$8,'Состав ВТК'!$K30=справочник!$A$5)),W35=0),0,$Y$12/(Распределение!$N$11-SUMIF($W$14:$W$114,0,Распределение!$N$13:$N$125))*Распределение!N34),2),"0,00")</f>
        <v>0</v>
      </c>
      <c r="Z35" s="310">
        <f>IFERROR(ROUND(IF(X35=0,ROUND(('Расчет участников НИР'!$H37*'счеталка премий'!R27),2)-X35,0),2),0)</f>
        <v>0</v>
      </c>
      <c r="AA35" s="306"/>
      <c r="AB35" s="309">
        <f t="shared" si="12"/>
        <v>0</v>
      </c>
      <c r="AC35" s="309">
        <f t="shared" si="4"/>
        <v>0</v>
      </c>
      <c r="AE35" s="308"/>
    </row>
    <row r="36" spans="1:31" hidden="1" x14ac:dyDescent="0.25">
      <c r="A36" s="247">
        <v>23</v>
      </c>
      <c r="B36" s="602">
        <f>'Состав ВТК'!$B31</f>
        <v>0</v>
      </c>
      <c r="C36" s="310" t="str">
        <f>IFERROR(VLOOKUP($B36,'Состав ВТК'!$B$9:$I$108,7,FALSE),"-")</f>
        <v>-</v>
      </c>
      <c r="D36" s="310" t="str">
        <f>IFERROR(VLOOKUP($B36,'Состав ВТК'!$B$9:$I$108,8,FALSE),"-")</f>
        <v>-</v>
      </c>
      <c r="E36" s="310">
        <f>ROUND(IF($B36='Расчет участников НИР'!$A38,'Расчет участников НИР'!$M38),2)</f>
        <v>0</v>
      </c>
      <c r="F36" s="310">
        <f>ROUND('Расчет участников НИР'!$H38*50%-$E36,2)</f>
        <v>0</v>
      </c>
      <c r="G36" s="310" t="str">
        <f t="shared" si="5"/>
        <v>0,00</v>
      </c>
      <c r="H36" s="310">
        <f>IFERROR(ROUND(IF('Состав ВТК'!P31="",IF(AND('Состав ВТК'!M31&gt;=Выплаты!$G$8,'Состав ВТК'!L31&lt;=Выплаты!$G$8),ROUND(('Расчет участников НИР'!$H38*'счеталка премий'!O28),2),0),IF(AND('Состав ВТК'!Q31&gt;=Выплаты!$G$8,'Состав ВТК'!P31&lt;=Выплаты!$G$8),ROUND(('Расчет участников НИР'!$H38*'счеталка премий'!O28),2),0)),2),0)</f>
        <v>0</v>
      </c>
      <c r="I36" s="310">
        <f>IFERROR(ROUND(IF(H36=0,ROUND(('Расчет участников НИР'!$H38*'счеталка премий'!O28),2)-H36,0),2),0)</f>
        <v>0</v>
      </c>
      <c r="J36" s="310">
        <f t="shared" si="6"/>
        <v>0</v>
      </c>
      <c r="K36" s="306"/>
      <c r="L36" s="310" t="str">
        <f t="shared" si="7"/>
        <v>0,00</v>
      </c>
      <c r="M36" s="310">
        <f>IFERROR(ROUND(IF('Состав ВТК'!P31="",IF(AND('Состав ВТК'!M31&gt;=Выплаты!$L$8,'Состав ВТК'!L31&lt;=Выплаты!$L$8),ROUND(IF('счеталка премий'!I28&lt;0,0,('Расчет участников НИР'!$H38*'счеталка премий'!P28)),2),0),IF(AND('Состав ВТК'!Q31&gt;=Выплаты!$L$8,'Состав ВТК'!P31&lt;=Выплаты!$L$8),ROUND(IF('счеталка премий'!I28&lt;0,0,('Расчет участников НИР'!$H38*'счеталка премий'!P28)),2),0)),2),0)</f>
        <v>0</v>
      </c>
      <c r="N36" s="310">
        <f>IFERROR(ROUND(IF(M36=0,ROUND(('Расчет участников НИР'!$H38*'счеталка премий'!P28),2)-M36,0),2),0)</f>
        <v>0</v>
      </c>
      <c r="O36" s="310">
        <f t="shared" si="8"/>
        <v>0</v>
      </c>
      <c r="P36" s="306"/>
      <c r="Q36" s="310" t="str">
        <f t="shared" si="9"/>
        <v>0,00</v>
      </c>
      <c r="R36" s="310">
        <f>IFERROR(ROUND(IF('Состав ВТК'!P31="",IF(AND('Состав ВТК'!M31&gt;=Выплаты!$Q$8,'Состав ВТК'!L31&lt;=Выплаты!$Q$8),ROUND(IF('счеталка премий'!J28&lt;0,0,('Расчет участников НИР'!$H38*'счеталка премий'!Q28)),2),0),IF(AND('Состав ВТК'!Q31&gt;=Выплаты!$Q$8,'Состав ВТК'!P31&lt;=Выплаты!$Q$8),ROUND(IF('счеталка премий'!J28&lt;0,0,('Расчет участников НИР'!$H38*'счеталка премий'!Q28)),2),0)),2),0)</f>
        <v>0</v>
      </c>
      <c r="S36" s="310">
        <f>IFERROR(ROUND(IF(R36=0,ROUND(('Расчет участников НИР'!$H38*'счеталка премий'!Q28),2)-R36,0),2),0)</f>
        <v>0</v>
      </c>
      <c r="T36" s="310">
        <f t="shared" si="3"/>
        <v>0</v>
      </c>
      <c r="U36" s="306"/>
      <c r="V36" s="310">
        <f t="shared" si="10"/>
        <v>0</v>
      </c>
      <c r="W36" s="310" t="str">
        <f t="shared" si="11"/>
        <v>0,00</v>
      </c>
      <c r="X36" s="310">
        <f>IFERROR(ROUND(IF('Состав ВТК'!P31="",IF('Состав ВТК'!M31&gt;=Выплаты!$V$8,ROUND(IF('счеталка премий'!K28&lt;0,0,'Расчет участников НИР'!$H38*'счеталка премий'!R28),2),0),IF('Состав ВТК'!Q31&gt;=Выплаты!$V$8,ROUND(IF('счеталка премий'!K28&lt;0,0,'Расчет участников НИР'!$H38*'счеталка премий'!R28),2),0)),2),0)</f>
        <v>0</v>
      </c>
      <c r="Y36" s="310">
        <f>IFERROR(ROUND(IF(OR(IF('Состав ВТК'!L31="",AND('Состав ВТК'!Q31&lt;=Выплаты!$V$8,'Состав ВТК'!P31&lt;Выплаты!$V$8),AND('Состав ВТК'!M31&lt;=Выплаты!$V$8,'Состав ВТК'!$K31=справочник!$A$5)),W36=0),0,$Y$12/(Распределение!$N$11-SUMIF($W$14:$W$114,0,Распределение!$N$13:$N$125))*Распределение!N35),2),"0,00")</f>
        <v>0</v>
      </c>
      <c r="Z36" s="310">
        <f>IFERROR(ROUND(IF(X36=0,ROUND(('Расчет участников НИР'!$H38*'счеталка премий'!R28),2)-X36,0),2),0)</f>
        <v>0</v>
      </c>
      <c r="AA36" s="306"/>
      <c r="AB36" s="309">
        <f t="shared" si="12"/>
        <v>0</v>
      </c>
      <c r="AC36" s="309">
        <f t="shared" si="4"/>
        <v>0</v>
      </c>
      <c r="AE36" s="308"/>
    </row>
    <row r="37" spans="1:31" hidden="1" x14ac:dyDescent="0.25">
      <c r="A37" s="247">
        <v>24</v>
      </c>
      <c r="B37" s="602">
        <f>'Состав ВТК'!$B32</f>
        <v>0</v>
      </c>
      <c r="C37" s="310" t="str">
        <f>IFERROR(VLOOKUP($B37,'Состав ВТК'!$B$9:$I$108,7,FALSE),"-")</f>
        <v>-</v>
      </c>
      <c r="D37" s="310" t="str">
        <f>IFERROR(VLOOKUP($B37,'Состав ВТК'!$B$9:$I$108,8,FALSE),"-")</f>
        <v>-</v>
      </c>
      <c r="E37" s="310">
        <f>ROUND(IF($B37='Расчет участников НИР'!$A39,'Расчет участников НИР'!$M39),2)</f>
        <v>0</v>
      </c>
      <c r="F37" s="310">
        <f>ROUND('Расчет участников НИР'!$H39*50%-$E37,2)</f>
        <v>0</v>
      </c>
      <c r="G37" s="310" t="str">
        <f t="shared" si="5"/>
        <v>0,00</v>
      </c>
      <c r="H37" s="310">
        <f>IFERROR(ROUND(IF('Состав ВТК'!P32="",IF(AND('Состав ВТК'!M32&gt;=Выплаты!$G$8,'Состав ВТК'!L32&lt;=Выплаты!$G$8),ROUND(('Расчет участников НИР'!$H39*'счеталка премий'!O29),2),0),IF(AND('Состав ВТК'!Q32&gt;=Выплаты!$G$8,'Состав ВТК'!P32&lt;=Выплаты!$G$8),ROUND(('Расчет участников НИР'!$H39*'счеталка премий'!O29),2),0)),2),0)</f>
        <v>0</v>
      </c>
      <c r="I37" s="310">
        <f>IFERROR(ROUND(IF(H37=0,ROUND(('Расчет участников НИР'!$H39*'счеталка премий'!O29),2)-H37,0),2),0)</f>
        <v>0</v>
      </c>
      <c r="J37" s="310">
        <f t="shared" si="6"/>
        <v>0</v>
      </c>
      <c r="K37" s="306"/>
      <c r="L37" s="310" t="str">
        <f t="shared" si="7"/>
        <v>0,00</v>
      </c>
      <c r="M37" s="310">
        <f>IFERROR(ROUND(IF('Состав ВТК'!P32="",IF(AND('Состав ВТК'!M32&gt;=Выплаты!$L$8,'Состав ВТК'!L32&lt;=Выплаты!$L$8),ROUND(IF('счеталка премий'!I29&lt;0,0,('Расчет участников НИР'!$H39*'счеталка премий'!P29)),2),0),IF(AND('Состав ВТК'!Q32&gt;=Выплаты!$L$8,'Состав ВТК'!P32&lt;=Выплаты!$L$8),ROUND(IF('счеталка премий'!I29&lt;0,0,('Расчет участников НИР'!$H39*'счеталка премий'!P29)),2),0)),2),0)</f>
        <v>0</v>
      </c>
      <c r="N37" s="310">
        <f>IFERROR(ROUND(IF(M37=0,ROUND(('Расчет участников НИР'!$H39*'счеталка премий'!P29),2)-M37,0),2),0)</f>
        <v>0</v>
      </c>
      <c r="O37" s="310">
        <f t="shared" si="8"/>
        <v>0</v>
      </c>
      <c r="P37" s="306"/>
      <c r="Q37" s="310" t="str">
        <f t="shared" si="9"/>
        <v>0,00</v>
      </c>
      <c r="R37" s="310">
        <f>IFERROR(ROUND(IF('Состав ВТК'!P32="",IF(AND('Состав ВТК'!M32&gt;=Выплаты!$Q$8,'Состав ВТК'!L32&lt;=Выплаты!$Q$8),ROUND(IF('счеталка премий'!J29&lt;0,0,('Расчет участников НИР'!$H39*'счеталка премий'!Q29)),2),0),IF(AND('Состав ВТК'!Q32&gt;=Выплаты!$Q$8,'Состав ВТК'!P32&lt;=Выплаты!$Q$8),ROUND(IF('счеталка премий'!J29&lt;0,0,('Расчет участников НИР'!$H39*'счеталка премий'!Q29)),2),0)),2),0)</f>
        <v>0</v>
      </c>
      <c r="S37" s="310">
        <f>IFERROR(ROUND(IF(R37=0,ROUND(('Расчет участников НИР'!$H39*'счеталка премий'!Q29),2)-R37,0),2),0)</f>
        <v>0</v>
      </c>
      <c r="T37" s="310">
        <f t="shared" si="3"/>
        <v>0</v>
      </c>
      <c r="U37" s="306"/>
      <c r="V37" s="310">
        <f t="shared" si="10"/>
        <v>0</v>
      </c>
      <c r="W37" s="310" t="str">
        <f t="shared" si="11"/>
        <v>0,00</v>
      </c>
      <c r="X37" s="310">
        <f>IFERROR(ROUND(IF('Состав ВТК'!P32="",IF('Состав ВТК'!M32&gt;=Выплаты!$V$8,ROUND(IF('счеталка премий'!K29&lt;0,0,'Расчет участников НИР'!$H39*'счеталка премий'!R29),2),0),IF('Состав ВТК'!Q32&gt;=Выплаты!$V$8,ROUND(IF('счеталка премий'!K29&lt;0,0,'Расчет участников НИР'!$H39*'счеталка премий'!R29),2),0)),2),0)</f>
        <v>0</v>
      </c>
      <c r="Y37" s="310">
        <f>IFERROR(ROUND(IF(OR(IF('Состав ВТК'!L32="",AND('Состав ВТК'!Q32&lt;=Выплаты!$V$8,'Состав ВТК'!P32&lt;Выплаты!$V$8),AND('Состав ВТК'!M32&lt;=Выплаты!$V$8,'Состав ВТК'!$K32=справочник!$A$5)),W37=0),0,$Y$12/(Распределение!$N$11-SUMIF($W$14:$W$114,0,Распределение!$N$13:$N$125))*Распределение!N36),2),"0,00")</f>
        <v>0</v>
      </c>
      <c r="Z37" s="310">
        <f>IFERROR(ROUND(IF(X37=0,ROUND(('Расчет участников НИР'!$H39*'счеталка премий'!R29),2)-X37,0),2),0)</f>
        <v>0</v>
      </c>
      <c r="AA37" s="306"/>
      <c r="AB37" s="309">
        <f t="shared" si="12"/>
        <v>0</v>
      </c>
      <c r="AC37" s="309">
        <f t="shared" si="4"/>
        <v>0</v>
      </c>
      <c r="AE37" s="308"/>
    </row>
    <row r="38" spans="1:31" hidden="1" x14ac:dyDescent="0.25">
      <c r="A38" s="247">
        <v>25</v>
      </c>
      <c r="B38" s="602">
        <f>'Состав ВТК'!$B33</f>
        <v>0</v>
      </c>
      <c r="C38" s="310" t="str">
        <f>IFERROR(VLOOKUP($B38,'Состав ВТК'!$B$9:$I$108,7,FALSE),"-")</f>
        <v>-</v>
      </c>
      <c r="D38" s="310" t="str">
        <f>IFERROR(VLOOKUP($B38,'Состав ВТК'!$B$9:$I$108,8,FALSE),"-")</f>
        <v>-</v>
      </c>
      <c r="E38" s="310">
        <f>ROUND(IF($B38='Расчет участников НИР'!$A40,'Расчет участников НИР'!$M40),2)</f>
        <v>0</v>
      </c>
      <c r="F38" s="310">
        <f>ROUND('Расчет участников НИР'!$H40*50%-$E38,2)</f>
        <v>0</v>
      </c>
      <c r="G38" s="310" t="str">
        <f t="shared" si="5"/>
        <v>0,00</v>
      </c>
      <c r="H38" s="310">
        <f>IFERROR(ROUND(IF('Состав ВТК'!P33="",IF(AND('Состав ВТК'!M33&gt;=Выплаты!$G$8,'Состав ВТК'!L33&lt;=Выплаты!$G$8),ROUND(('Расчет участников НИР'!$H40*'счеталка премий'!O30),2),0),IF(AND('Состав ВТК'!Q33&gt;=Выплаты!$G$8,'Состав ВТК'!P33&lt;=Выплаты!$G$8),ROUND(('Расчет участников НИР'!$H40*'счеталка премий'!O30),2),0)),2),0)</f>
        <v>0</v>
      </c>
      <c r="I38" s="310">
        <f>IFERROR(ROUND(IF(H38=0,ROUND(('Расчет участников НИР'!$H40*'счеталка премий'!O30),2)-H38,0),2),0)</f>
        <v>0</v>
      </c>
      <c r="J38" s="310">
        <f t="shared" si="6"/>
        <v>0</v>
      </c>
      <c r="K38" s="306"/>
      <c r="L38" s="310" t="str">
        <f t="shared" si="7"/>
        <v>0,00</v>
      </c>
      <c r="M38" s="310">
        <f>IFERROR(ROUND(IF('Состав ВТК'!P33="",IF(AND('Состав ВТК'!M33&gt;=Выплаты!$L$8,'Состав ВТК'!L33&lt;=Выплаты!$L$8),ROUND(IF('счеталка премий'!I30&lt;0,0,('Расчет участников НИР'!$H40*'счеталка премий'!P30)),2),0),IF(AND('Состав ВТК'!Q33&gt;=Выплаты!$L$8,'Состав ВТК'!P33&lt;=Выплаты!$L$8),ROUND(IF('счеталка премий'!I30&lt;0,0,('Расчет участников НИР'!$H40*'счеталка премий'!P30)),2),0)),2),0)</f>
        <v>0</v>
      </c>
      <c r="N38" s="310">
        <f>IFERROR(ROUND(IF(M38=0,ROUND(('Расчет участников НИР'!$H40*'счеталка премий'!P30),2)-M38,0),2),0)</f>
        <v>0</v>
      </c>
      <c r="O38" s="310">
        <f t="shared" si="8"/>
        <v>0</v>
      </c>
      <c r="P38" s="306"/>
      <c r="Q38" s="310" t="str">
        <f t="shared" si="9"/>
        <v>0,00</v>
      </c>
      <c r="R38" s="310">
        <f>IFERROR(ROUND(IF('Состав ВТК'!P33="",IF(AND('Состав ВТК'!M33&gt;=Выплаты!$Q$8,'Состав ВТК'!L33&lt;=Выплаты!$Q$8),ROUND(IF('счеталка премий'!J30&lt;0,0,('Расчет участников НИР'!$H40*'счеталка премий'!Q30)),2),0),IF(AND('Состав ВТК'!Q33&gt;=Выплаты!$Q$8,'Состав ВТК'!P33&lt;=Выплаты!$Q$8),ROUND(IF('счеталка премий'!J30&lt;0,0,('Расчет участников НИР'!$H40*'счеталка премий'!Q30)),2),0)),2),0)</f>
        <v>0</v>
      </c>
      <c r="S38" s="310">
        <f>IFERROR(ROUND(IF(R38=0,ROUND(('Расчет участников НИР'!$H40*'счеталка премий'!Q30),2)-R38,0),2),0)</f>
        <v>0</v>
      </c>
      <c r="T38" s="310">
        <f t="shared" si="3"/>
        <v>0</v>
      </c>
      <c r="U38" s="306"/>
      <c r="V38" s="310">
        <f t="shared" si="10"/>
        <v>0</v>
      </c>
      <c r="W38" s="310" t="str">
        <f t="shared" si="11"/>
        <v>0,00</v>
      </c>
      <c r="X38" s="310">
        <f>IFERROR(ROUND(IF('Состав ВТК'!P33="",IF('Состав ВТК'!M33&gt;=Выплаты!$V$8,ROUND(IF('счеталка премий'!K30&lt;0,0,'Расчет участников НИР'!$H40*'счеталка премий'!R30),2),0),IF('Состав ВТК'!Q33&gt;=Выплаты!$V$8,ROUND(IF('счеталка премий'!K30&lt;0,0,'Расчет участников НИР'!$H40*'счеталка премий'!R30),2),0)),2),0)</f>
        <v>0</v>
      </c>
      <c r="Y38" s="310">
        <f>IFERROR(ROUND(IF(OR(IF('Состав ВТК'!L33="",AND('Состав ВТК'!Q33&lt;=Выплаты!$V$8,'Состав ВТК'!P33&lt;Выплаты!$V$8),AND('Состав ВТК'!M33&lt;=Выплаты!$V$8,'Состав ВТК'!$K33=справочник!$A$5)),W38=0),0,$Y$12/(Распределение!$N$11-SUMIF($W$14:$W$114,0,Распределение!$N$13:$N$125))*Распределение!N37),2),"0,00")</f>
        <v>0</v>
      </c>
      <c r="Z38" s="310">
        <f>IFERROR(ROUND(IF(X38=0,ROUND(('Расчет участников НИР'!$H40*'счеталка премий'!R30),2)-X38,0),2),0)</f>
        <v>0</v>
      </c>
      <c r="AA38" s="306"/>
      <c r="AB38" s="309">
        <f t="shared" si="12"/>
        <v>0</v>
      </c>
      <c r="AC38" s="309">
        <f t="shared" si="4"/>
        <v>0</v>
      </c>
      <c r="AE38" s="308"/>
    </row>
    <row r="39" spans="1:31" hidden="1" x14ac:dyDescent="0.25">
      <c r="A39" s="247">
        <v>26</v>
      </c>
      <c r="B39" s="602">
        <f>'Состав ВТК'!$B34</f>
        <v>0</v>
      </c>
      <c r="C39" s="310" t="str">
        <f>IFERROR(VLOOKUP($B39,'Состав ВТК'!$B$9:$I$108,7,FALSE),"-")</f>
        <v>-</v>
      </c>
      <c r="D39" s="310" t="str">
        <f>IFERROR(VLOOKUP($B39,'Состав ВТК'!$B$9:$I$108,8,FALSE),"-")</f>
        <v>-</v>
      </c>
      <c r="E39" s="310">
        <f>ROUND(IF($B39='Расчет участников НИР'!$A41,'Расчет участников НИР'!$M41),2)</f>
        <v>0</v>
      </c>
      <c r="F39" s="310">
        <f>ROUND('Расчет участников НИР'!$H41*50%-$E39,2)</f>
        <v>0</v>
      </c>
      <c r="G39" s="310" t="str">
        <f t="shared" si="5"/>
        <v>0,00</v>
      </c>
      <c r="H39" s="310">
        <f>IFERROR(ROUND(IF('Состав ВТК'!P34="",IF(AND('Состав ВТК'!M34&gt;=Выплаты!$G$8,'Состав ВТК'!L34&lt;=Выплаты!$G$8),ROUND(('Расчет участников НИР'!$H41*'счеталка премий'!O31),2),0),IF(AND('Состав ВТК'!Q34&gt;=Выплаты!$G$8,'Состав ВТК'!P34&lt;=Выплаты!$G$8),ROUND(('Расчет участников НИР'!$H41*'счеталка премий'!O31),2),0)),2),0)</f>
        <v>0</v>
      </c>
      <c r="I39" s="310">
        <f>IFERROR(ROUND(IF(H39=0,ROUND(('Расчет участников НИР'!$H41*'счеталка премий'!O31),2)-H39,0),2),0)</f>
        <v>0</v>
      </c>
      <c r="J39" s="310">
        <f t="shared" si="6"/>
        <v>0</v>
      </c>
      <c r="K39" s="306"/>
      <c r="L39" s="310" t="str">
        <f t="shared" si="7"/>
        <v>0,00</v>
      </c>
      <c r="M39" s="310">
        <f>IFERROR(ROUND(IF('Состав ВТК'!P34="",IF(AND('Состав ВТК'!M34&gt;=Выплаты!$L$8,'Состав ВТК'!L34&lt;=Выплаты!$L$8),ROUND(IF('счеталка премий'!I31&lt;0,0,('Расчет участников НИР'!$H41*'счеталка премий'!P31)),2),0),IF(AND('Состав ВТК'!Q34&gt;=Выплаты!$L$8,'Состав ВТК'!P34&lt;=Выплаты!$L$8),ROUND(IF('счеталка премий'!I31&lt;0,0,('Расчет участников НИР'!$H41*'счеталка премий'!P31)),2),0)),2),0)</f>
        <v>0</v>
      </c>
      <c r="N39" s="310">
        <f>IFERROR(ROUND(IF(M39=0,ROUND(('Расчет участников НИР'!$H41*'счеталка премий'!P31),2)-M39,0),2),0)</f>
        <v>0</v>
      </c>
      <c r="O39" s="310">
        <f t="shared" si="8"/>
        <v>0</v>
      </c>
      <c r="P39" s="306"/>
      <c r="Q39" s="310" t="str">
        <f t="shared" si="9"/>
        <v>0,00</v>
      </c>
      <c r="R39" s="310">
        <f>IFERROR(ROUND(IF('Состав ВТК'!P34="",IF(AND('Состав ВТК'!M34&gt;=Выплаты!$Q$8,'Состав ВТК'!L34&lt;=Выплаты!$Q$8),ROUND(IF('счеталка премий'!J31&lt;0,0,('Расчет участников НИР'!$H41*'счеталка премий'!Q31)),2),0),IF(AND('Состав ВТК'!Q34&gt;=Выплаты!$Q$8,'Состав ВТК'!P34&lt;=Выплаты!$Q$8),ROUND(IF('счеталка премий'!J31&lt;0,0,('Расчет участников НИР'!$H41*'счеталка премий'!Q31)),2),0)),2),0)</f>
        <v>0</v>
      </c>
      <c r="S39" s="310">
        <f>IFERROR(ROUND(IF(R39=0,ROUND(('Расчет участников НИР'!$H41*'счеталка премий'!Q31),2)-R39,0),2),0)</f>
        <v>0</v>
      </c>
      <c r="T39" s="310">
        <f t="shared" si="3"/>
        <v>0</v>
      </c>
      <c r="U39" s="306"/>
      <c r="V39" s="310">
        <f t="shared" si="10"/>
        <v>0</v>
      </c>
      <c r="W39" s="310" t="str">
        <f t="shared" si="11"/>
        <v>0,00</v>
      </c>
      <c r="X39" s="310">
        <f>IFERROR(ROUND(IF('Состав ВТК'!P34="",IF('Состав ВТК'!M34&gt;=Выплаты!$V$8,ROUND(IF('счеталка премий'!K31&lt;0,0,'Расчет участников НИР'!$H41*'счеталка премий'!R31),2),0),IF('Состав ВТК'!Q34&gt;=Выплаты!$V$8,ROUND(IF('счеталка премий'!K31&lt;0,0,'Расчет участников НИР'!$H41*'счеталка премий'!R31),2),0)),2),0)</f>
        <v>0</v>
      </c>
      <c r="Y39" s="310">
        <f>IFERROR(ROUND(IF(OR(IF('Состав ВТК'!L34="",AND('Состав ВТК'!Q34&lt;=Выплаты!$V$8,'Состав ВТК'!P34&lt;Выплаты!$V$8),AND('Состав ВТК'!M34&lt;=Выплаты!$V$8,'Состав ВТК'!$K34=справочник!$A$5)),W39=0),0,$Y$12/(Распределение!$N$11-SUMIF($W$14:$W$114,0,Распределение!$N$13:$N$125))*Распределение!N38),2),"0,00")</f>
        <v>0</v>
      </c>
      <c r="Z39" s="310">
        <f>IFERROR(ROUND(IF(X39=0,ROUND(('Расчет участников НИР'!$H41*'счеталка премий'!R31),2)-X39,0),2),0)</f>
        <v>0</v>
      </c>
      <c r="AA39" s="306"/>
      <c r="AB39" s="309">
        <f t="shared" si="12"/>
        <v>0</v>
      </c>
      <c r="AC39" s="309">
        <f t="shared" si="4"/>
        <v>0</v>
      </c>
      <c r="AE39" s="308"/>
    </row>
    <row r="40" spans="1:31" hidden="1" x14ac:dyDescent="0.25">
      <c r="A40" s="247">
        <v>27</v>
      </c>
      <c r="B40" s="602">
        <f>'Состав ВТК'!$B35</f>
        <v>0</v>
      </c>
      <c r="C40" s="310" t="str">
        <f>IFERROR(VLOOKUP($B40,'Состав ВТК'!$B$9:$I$108,7,FALSE),"-")</f>
        <v>-</v>
      </c>
      <c r="D40" s="310" t="str">
        <f>IFERROR(VLOOKUP($B40,'Состав ВТК'!$B$9:$I$108,8,FALSE),"-")</f>
        <v>-</v>
      </c>
      <c r="E40" s="310">
        <f>ROUND(IF($B40='Расчет участников НИР'!$A42,'Расчет участников НИР'!$M42),2)</f>
        <v>0</v>
      </c>
      <c r="F40" s="310">
        <f>ROUND('Расчет участников НИР'!$H42*50%-$E40,2)</f>
        <v>0</v>
      </c>
      <c r="G40" s="310" t="str">
        <f t="shared" si="5"/>
        <v>0,00</v>
      </c>
      <c r="H40" s="310">
        <f>IFERROR(ROUND(IF('Состав ВТК'!P35="",IF(AND('Состав ВТК'!M35&gt;=Выплаты!$G$8,'Состав ВТК'!L35&lt;=Выплаты!$G$8),ROUND(('Расчет участников НИР'!$H42*'счеталка премий'!O32),2),0),IF(AND('Состав ВТК'!Q35&gt;=Выплаты!$G$8,'Состав ВТК'!P35&lt;=Выплаты!$G$8),ROUND(('Расчет участников НИР'!$H42*'счеталка премий'!O32),2),0)),2),0)</f>
        <v>0</v>
      </c>
      <c r="I40" s="310">
        <f>IFERROR(ROUND(IF(H40=0,ROUND(('Расчет участников НИР'!$H42*'счеталка премий'!O32),2)-H40,0),2),0)</f>
        <v>0</v>
      </c>
      <c r="J40" s="310">
        <f t="shared" si="6"/>
        <v>0</v>
      </c>
      <c r="K40" s="306"/>
      <c r="L40" s="310" t="str">
        <f t="shared" si="7"/>
        <v>0,00</v>
      </c>
      <c r="M40" s="310">
        <f>IFERROR(ROUND(IF('Состав ВТК'!P35="",IF(AND('Состав ВТК'!M35&gt;=Выплаты!$L$8,'Состав ВТК'!L35&lt;=Выплаты!$L$8),ROUND(IF('счеталка премий'!I32&lt;0,0,('Расчет участников НИР'!$H42*'счеталка премий'!P32)),2),0),IF(AND('Состав ВТК'!Q35&gt;=Выплаты!$L$8,'Состав ВТК'!P35&lt;=Выплаты!$L$8),ROUND(IF('счеталка премий'!I32&lt;0,0,('Расчет участников НИР'!$H42*'счеталка премий'!P32)),2),0)),2),0)</f>
        <v>0</v>
      </c>
      <c r="N40" s="310">
        <f>IFERROR(ROUND(IF(M40=0,ROUND(('Расчет участников НИР'!$H42*'счеталка премий'!P32),2)-M40,0),2),0)</f>
        <v>0</v>
      </c>
      <c r="O40" s="310">
        <f t="shared" si="8"/>
        <v>0</v>
      </c>
      <c r="P40" s="306"/>
      <c r="Q40" s="310" t="str">
        <f t="shared" si="9"/>
        <v>0,00</v>
      </c>
      <c r="R40" s="310">
        <f>IFERROR(ROUND(IF('Состав ВТК'!P35="",IF(AND('Состав ВТК'!M35&gt;=Выплаты!$Q$8,'Состав ВТК'!L35&lt;=Выплаты!$Q$8),ROUND(IF('счеталка премий'!J32&lt;0,0,('Расчет участников НИР'!$H42*'счеталка премий'!Q32)),2),0),IF(AND('Состав ВТК'!Q35&gt;=Выплаты!$Q$8,'Состав ВТК'!P35&lt;=Выплаты!$Q$8),ROUND(IF('счеталка премий'!J32&lt;0,0,('Расчет участников НИР'!$H42*'счеталка премий'!Q32)),2),0)),2),0)</f>
        <v>0</v>
      </c>
      <c r="S40" s="310">
        <f>IFERROR(ROUND(IF(R40=0,ROUND(('Расчет участников НИР'!$H42*'счеталка премий'!Q32),2)-R40,0),2),0)</f>
        <v>0</v>
      </c>
      <c r="T40" s="310">
        <f t="shared" si="3"/>
        <v>0</v>
      </c>
      <c r="U40" s="306"/>
      <c r="V40" s="310">
        <f t="shared" si="10"/>
        <v>0</v>
      </c>
      <c r="W40" s="310" t="str">
        <f t="shared" si="11"/>
        <v>0,00</v>
      </c>
      <c r="X40" s="310">
        <f>IFERROR(ROUND(IF('Состав ВТК'!P35="",IF('Состав ВТК'!M35&gt;=Выплаты!$V$8,ROUND(IF('счеталка премий'!K32&lt;0,0,'Расчет участников НИР'!$H42*'счеталка премий'!R32),2),0),IF('Состав ВТК'!Q35&gt;=Выплаты!$V$8,ROUND(IF('счеталка премий'!K32&lt;0,0,'Расчет участников НИР'!$H42*'счеталка премий'!R32),2),0)),2),0)</f>
        <v>0</v>
      </c>
      <c r="Y40" s="310">
        <f>IFERROR(ROUND(IF(OR(IF('Состав ВТК'!L35="",AND('Состав ВТК'!Q35&lt;=Выплаты!$V$8,'Состав ВТК'!P35&lt;Выплаты!$V$8),AND('Состав ВТК'!M35&lt;=Выплаты!$V$8,'Состав ВТК'!$K35=справочник!$A$5)),W40=0),0,$Y$12/(Распределение!$N$11-SUMIF($W$14:$W$114,0,Распределение!$N$13:$N$125))*Распределение!N39),2),"0,00")</f>
        <v>0</v>
      </c>
      <c r="Z40" s="310">
        <f>IFERROR(ROUND(IF(X40=0,ROUND(('Расчет участников НИР'!$H42*'счеталка премий'!R32),2)-X40,0),2),0)</f>
        <v>0</v>
      </c>
      <c r="AA40" s="306"/>
      <c r="AB40" s="309">
        <f t="shared" si="12"/>
        <v>0</v>
      </c>
      <c r="AC40" s="309">
        <f t="shared" si="4"/>
        <v>0</v>
      </c>
      <c r="AE40" s="308"/>
    </row>
    <row r="41" spans="1:31" hidden="1" x14ac:dyDescent="0.25">
      <c r="A41" s="247">
        <v>28</v>
      </c>
      <c r="B41" s="602">
        <f>'Состав ВТК'!$B36</f>
        <v>0</v>
      </c>
      <c r="C41" s="310" t="str">
        <f>IFERROR(VLOOKUP($B41,'Состав ВТК'!$B$9:$I$108,7,FALSE),"-")</f>
        <v>-</v>
      </c>
      <c r="D41" s="310" t="str">
        <f>IFERROR(VLOOKUP($B41,'Состав ВТК'!$B$9:$I$108,8,FALSE),"-")</f>
        <v>-</v>
      </c>
      <c r="E41" s="310">
        <f>ROUND(IF($B41='Расчет участников НИР'!$A43,'Расчет участников НИР'!$M43),2)</f>
        <v>0</v>
      </c>
      <c r="F41" s="310">
        <f>ROUND('Расчет участников НИР'!$H43*50%-$E41,2)</f>
        <v>0</v>
      </c>
      <c r="G41" s="310" t="str">
        <f t="shared" si="5"/>
        <v>0,00</v>
      </c>
      <c r="H41" s="310">
        <f>IFERROR(ROUND(IF('Состав ВТК'!P36="",IF(AND('Состав ВТК'!M36&gt;=Выплаты!$G$8,'Состав ВТК'!L36&lt;=Выплаты!$G$8),ROUND(('Расчет участников НИР'!$H43*'счеталка премий'!O33),2),0),IF(AND('Состав ВТК'!Q36&gt;=Выплаты!$G$8,'Состав ВТК'!P36&lt;=Выплаты!$G$8),ROUND(('Расчет участников НИР'!$H43*'счеталка премий'!O33),2),0)),2),0)</f>
        <v>0</v>
      </c>
      <c r="I41" s="310">
        <f>IFERROR(ROUND(IF(H41=0,ROUND(('Расчет участников НИР'!$H43*'счеталка премий'!O33),2)-H41,0),2),0)</f>
        <v>0</v>
      </c>
      <c r="J41" s="310">
        <f t="shared" si="6"/>
        <v>0</v>
      </c>
      <c r="K41" s="306"/>
      <c r="L41" s="310" t="str">
        <f t="shared" si="7"/>
        <v>0,00</v>
      </c>
      <c r="M41" s="310">
        <f>IFERROR(ROUND(IF('Состав ВТК'!P36="",IF(AND('Состав ВТК'!M36&gt;=Выплаты!$L$8,'Состав ВТК'!L36&lt;=Выплаты!$L$8),ROUND(IF('счеталка премий'!I33&lt;0,0,('Расчет участников НИР'!$H43*'счеталка премий'!P33)),2),0),IF(AND('Состав ВТК'!Q36&gt;=Выплаты!$L$8,'Состав ВТК'!P36&lt;=Выплаты!$L$8),ROUND(IF('счеталка премий'!I33&lt;0,0,('Расчет участников НИР'!$H43*'счеталка премий'!P33)),2),0)),2),0)</f>
        <v>0</v>
      </c>
      <c r="N41" s="310">
        <f>IFERROR(ROUND(IF(M41=0,ROUND(('Расчет участников НИР'!$H43*'счеталка премий'!P33),2)-M41,0),2),0)</f>
        <v>0</v>
      </c>
      <c r="O41" s="310">
        <f t="shared" si="8"/>
        <v>0</v>
      </c>
      <c r="P41" s="306"/>
      <c r="Q41" s="310" t="str">
        <f t="shared" si="9"/>
        <v>0,00</v>
      </c>
      <c r="R41" s="310">
        <f>IFERROR(ROUND(IF('Состав ВТК'!P36="",IF(AND('Состав ВТК'!M36&gt;=Выплаты!$Q$8,'Состав ВТК'!L36&lt;=Выплаты!$Q$8),ROUND(IF('счеталка премий'!J33&lt;0,0,('Расчет участников НИР'!$H43*'счеталка премий'!Q33)),2),0),IF(AND('Состав ВТК'!Q36&gt;=Выплаты!$Q$8,'Состав ВТК'!P36&lt;=Выплаты!$Q$8),ROUND(IF('счеталка премий'!J33&lt;0,0,('Расчет участников НИР'!$H43*'счеталка премий'!Q33)),2),0)),2),0)</f>
        <v>0</v>
      </c>
      <c r="S41" s="310">
        <f>IFERROR(ROUND(IF(R41=0,ROUND(('Расчет участников НИР'!$H43*'счеталка премий'!Q33),2)-R41,0),2),0)</f>
        <v>0</v>
      </c>
      <c r="T41" s="310">
        <f t="shared" si="3"/>
        <v>0</v>
      </c>
      <c r="U41" s="306"/>
      <c r="V41" s="310">
        <f t="shared" si="10"/>
        <v>0</v>
      </c>
      <c r="W41" s="310" t="str">
        <f t="shared" si="11"/>
        <v>0,00</v>
      </c>
      <c r="X41" s="310">
        <f>IFERROR(ROUND(IF('Состав ВТК'!P36="",IF('Состав ВТК'!M36&gt;=Выплаты!$V$8,ROUND(IF('счеталка премий'!K33&lt;0,0,'Расчет участников НИР'!$H43*'счеталка премий'!R33),2),0),IF('Состав ВТК'!Q36&gt;=Выплаты!$V$8,ROUND(IF('счеталка премий'!K33&lt;0,0,'Расчет участников НИР'!$H43*'счеталка премий'!R33),2),0)),2),0)</f>
        <v>0</v>
      </c>
      <c r="Y41" s="310">
        <f>IFERROR(ROUND(IF(OR(IF('Состав ВТК'!L36="",AND('Состав ВТК'!Q36&lt;=Выплаты!$V$8,'Состав ВТК'!P36&lt;Выплаты!$V$8),AND('Состав ВТК'!M36&lt;=Выплаты!$V$8,'Состав ВТК'!$K36=справочник!$A$5)),W41=0),0,$Y$12/(Распределение!$N$11-SUMIF($W$14:$W$114,0,Распределение!$N$13:$N$125))*Распределение!N40),2),"0,00")</f>
        <v>0</v>
      </c>
      <c r="Z41" s="310">
        <f>IFERROR(ROUND(IF(X41=0,ROUND(('Расчет участников НИР'!$H43*'счеталка премий'!R33),2)-X41,0),2),0)</f>
        <v>0</v>
      </c>
      <c r="AA41" s="306"/>
      <c r="AB41" s="309">
        <f t="shared" si="12"/>
        <v>0</v>
      </c>
      <c r="AC41" s="309">
        <f t="shared" si="4"/>
        <v>0</v>
      </c>
      <c r="AE41" s="308"/>
    </row>
    <row r="42" spans="1:31" hidden="1" x14ac:dyDescent="0.25">
      <c r="A42" s="247">
        <v>29</v>
      </c>
      <c r="B42" s="602">
        <f>'Состав ВТК'!$B37</f>
        <v>0</v>
      </c>
      <c r="C42" s="310" t="str">
        <f>IFERROR(VLOOKUP($B42,'Состав ВТК'!$B$9:$I$108,7,FALSE),"-")</f>
        <v>-</v>
      </c>
      <c r="D42" s="310" t="str">
        <f>IFERROR(VLOOKUP($B42,'Состав ВТК'!$B$9:$I$108,8,FALSE),"-")</f>
        <v>-</v>
      </c>
      <c r="E42" s="310">
        <f>ROUND(IF($B42='Расчет участников НИР'!$A44,'Расчет участников НИР'!$M44),2)</f>
        <v>0</v>
      </c>
      <c r="F42" s="310">
        <f>ROUND('Расчет участников НИР'!$H44*50%-$E42,2)</f>
        <v>0</v>
      </c>
      <c r="G42" s="310" t="str">
        <f t="shared" si="5"/>
        <v>0,00</v>
      </c>
      <c r="H42" s="310">
        <f>IFERROR(ROUND(IF('Состав ВТК'!P37="",IF(AND('Состав ВТК'!M37&gt;=Выплаты!$G$8,'Состав ВТК'!L37&lt;=Выплаты!$G$8),ROUND(('Расчет участников НИР'!$H44*'счеталка премий'!O34),2),0),IF(AND('Состав ВТК'!Q37&gt;=Выплаты!$G$8,'Состав ВТК'!P37&lt;=Выплаты!$G$8),ROUND(('Расчет участников НИР'!$H44*'счеталка премий'!O34),2),0)),2),0)</f>
        <v>0</v>
      </c>
      <c r="I42" s="310">
        <f>IFERROR(ROUND(IF(H42=0,ROUND(('Расчет участников НИР'!$H44*'счеталка премий'!O34),2)-H42,0),2),0)</f>
        <v>0</v>
      </c>
      <c r="J42" s="310">
        <f t="shared" si="6"/>
        <v>0</v>
      </c>
      <c r="K42" s="306"/>
      <c r="L42" s="310" t="str">
        <f t="shared" si="7"/>
        <v>0,00</v>
      </c>
      <c r="M42" s="310">
        <f>IFERROR(ROUND(IF('Состав ВТК'!P37="",IF(AND('Состав ВТК'!M37&gt;=Выплаты!$L$8,'Состав ВТК'!L37&lt;=Выплаты!$L$8),ROUND(IF('счеталка премий'!I34&lt;0,0,('Расчет участников НИР'!$H44*'счеталка премий'!P34)),2),0),IF(AND('Состав ВТК'!Q37&gt;=Выплаты!$L$8,'Состав ВТК'!P37&lt;=Выплаты!$L$8),ROUND(IF('счеталка премий'!I34&lt;0,0,('Расчет участников НИР'!$H44*'счеталка премий'!P34)),2),0)),2),0)</f>
        <v>0</v>
      </c>
      <c r="N42" s="310">
        <f>IFERROR(ROUND(IF(M42=0,ROUND(('Расчет участников НИР'!$H44*'счеталка премий'!P34),2)-M42,0),2),0)</f>
        <v>0</v>
      </c>
      <c r="O42" s="310">
        <f t="shared" si="8"/>
        <v>0</v>
      </c>
      <c r="P42" s="306"/>
      <c r="Q42" s="310" t="str">
        <f t="shared" si="9"/>
        <v>0,00</v>
      </c>
      <c r="R42" s="310">
        <f>IFERROR(ROUND(IF('Состав ВТК'!P37="",IF(AND('Состав ВТК'!M37&gt;=Выплаты!$Q$8,'Состав ВТК'!L37&lt;=Выплаты!$Q$8),ROUND(IF('счеталка премий'!J34&lt;0,0,('Расчет участников НИР'!$H44*'счеталка премий'!Q34)),2),0),IF(AND('Состав ВТК'!Q37&gt;=Выплаты!$Q$8,'Состав ВТК'!P37&lt;=Выплаты!$Q$8),ROUND(IF('счеталка премий'!J34&lt;0,0,('Расчет участников НИР'!$H44*'счеталка премий'!Q34)),2),0)),2),0)</f>
        <v>0</v>
      </c>
      <c r="S42" s="310">
        <f>IFERROR(ROUND(IF(R42=0,ROUND(('Расчет участников НИР'!$H44*'счеталка премий'!Q34),2)-R42,0),2),0)</f>
        <v>0</v>
      </c>
      <c r="T42" s="310">
        <f t="shared" si="3"/>
        <v>0</v>
      </c>
      <c r="U42" s="306"/>
      <c r="V42" s="310">
        <f t="shared" si="10"/>
        <v>0</v>
      </c>
      <c r="W42" s="310" t="str">
        <f t="shared" si="11"/>
        <v>0,00</v>
      </c>
      <c r="X42" s="310">
        <f>IFERROR(ROUND(IF('Состав ВТК'!P37="",IF('Состав ВТК'!M37&gt;=Выплаты!$V$8,ROUND(IF('счеталка премий'!K34&lt;0,0,'Расчет участников НИР'!$H44*'счеталка премий'!R34),2),0),IF('Состав ВТК'!Q37&gt;=Выплаты!$V$8,ROUND(IF('счеталка премий'!K34&lt;0,0,'Расчет участников НИР'!$H44*'счеталка премий'!R34),2),0)),2),0)</f>
        <v>0</v>
      </c>
      <c r="Y42" s="310">
        <f>IFERROR(ROUND(IF(OR(IF('Состав ВТК'!L37="",AND('Состав ВТК'!Q37&lt;=Выплаты!$V$8,'Состав ВТК'!P37&lt;Выплаты!$V$8),AND('Состав ВТК'!M37&lt;=Выплаты!$V$8,'Состав ВТК'!$K37=справочник!$A$5)),W42=0),0,$Y$12/(Распределение!$N$11-SUMIF($W$14:$W$114,0,Распределение!$N$13:$N$125))*Распределение!N41),2),"0,00")</f>
        <v>0</v>
      </c>
      <c r="Z42" s="310">
        <f>IFERROR(ROUND(IF(X42=0,ROUND(('Расчет участников НИР'!$H44*'счеталка премий'!R34),2)-X42,0),2),0)</f>
        <v>0</v>
      </c>
      <c r="AA42" s="306"/>
      <c r="AB42" s="309">
        <f t="shared" si="12"/>
        <v>0</v>
      </c>
      <c r="AC42" s="309">
        <f t="shared" si="4"/>
        <v>0</v>
      </c>
      <c r="AE42" s="308"/>
    </row>
    <row r="43" spans="1:31" hidden="1" x14ac:dyDescent="0.25">
      <c r="A43" s="247">
        <v>30</v>
      </c>
      <c r="B43" s="602">
        <f>'Состав ВТК'!$B38</f>
        <v>0</v>
      </c>
      <c r="C43" s="310" t="str">
        <f>IFERROR(VLOOKUP($B43,'Состав ВТК'!$B$9:$I$108,7,FALSE),"-")</f>
        <v>-</v>
      </c>
      <c r="D43" s="310" t="str">
        <f>IFERROR(VLOOKUP($B43,'Состав ВТК'!$B$9:$I$108,8,FALSE),"-")</f>
        <v>-</v>
      </c>
      <c r="E43" s="310">
        <f>ROUND(IF($B43='Расчет участников НИР'!$A45,'Расчет участников НИР'!$M45),2)</f>
        <v>0</v>
      </c>
      <c r="F43" s="310">
        <f>ROUND('Расчет участников НИР'!$H45*50%-$E43,2)</f>
        <v>0</v>
      </c>
      <c r="G43" s="310" t="str">
        <f t="shared" si="5"/>
        <v>0,00</v>
      </c>
      <c r="H43" s="310">
        <f>IFERROR(ROUND(IF('Состав ВТК'!P38="",IF(AND('Состав ВТК'!M38&gt;=Выплаты!$G$8,'Состав ВТК'!L38&lt;=Выплаты!$G$8),ROUND(('Расчет участников НИР'!$H45*'счеталка премий'!O35),2),0),IF(AND('Состав ВТК'!Q38&gt;=Выплаты!$G$8,'Состав ВТК'!P38&lt;=Выплаты!$G$8),ROUND(('Расчет участников НИР'!$H45*'счеталка премий'!O35),2),0)),2),0)</f>
        <v>0</v>
      </c>
      <c r="I43" s="310">
        <f>IFERROR(ROUND(IF(H43=0,ROUND(('Расчет участников НИР'!$H45*'счеталка премий'!O35),2)-H43,0),2),0)</f>
        <v>0</v>
      </c>
      <c r="J43" s="310">
        <f t="shared" si="6"/>
        <v>0</v>
      </c>
      <c r="K43" s="306"/>
      <c r="L43" s="310" t="str">
        <f t="shared" si="7"/>
        <v>0,00</v>
      </c>
      <c r="M43" s="310">
        <f>IFERROR(ROUND(IF('Состав ВТК'!P38="",IF(AND('Состав ВТК'!M38&gt;=Выплаты!$L$8,'Состав ВТК'!L38&lt;=Выплаты!$L$8),ROUND(IF('счеталка премий'!I35&lt;0,0,('Расчет участников НИР'!$H45*'счеталка премий'!P35)),2),0),IF(AND('Состав ВТК'!Q38&gt;=Выплаты!$L$8,'Состав ВТК'!P38&lt;=Выплаты!$L$8),ROUND(IF('счеталка премий'!I35&lt;0,0,('Расчет участников НИР'!$H45*'счеталка премий'!P35)),2),0)),2),0)</f>
        <v>0</v>
      </c>
      <c r="N43" s="310">
        <f>IFERROR(ROUND(IF(M43=0,ROUND(('Расчет участников НИР'!$H45*'счеталка премий'!P35),2)-M43,0),2),0)</f>
        <v>0</v>
      </c>
      <c r="O43" s="310">
        <f t="shared" si="8"/>
        <v>0</v>
      </c>
      <c r="P43" s="306"/>
      <c r="Q43" s="310" t="str">
        <f t="shared" si="9"/>
        <v>0,00</v>
      </c>
      <c r="R43" s="310">
        <f>IFERROR(ROUND(IF('Состав ВТК'!P38="",IF(AND('Состав ВТК'!M38&gt;=Выплаты!$Q$8,'Состав ВТК'!L38&lt;=Выплаты!$Q$8),ROUND(IF('счеталка премий'!J35&lt;0,0,('Расчет участников НИР'!$H45*'счеталка премий'!Q35)),2),0),IF(AND('Состав ВТК'!Q38&gt;=Выплаты!$Q$8,'Состав ВТК'!P38&lt;=Выплаты!$Q$8),ROUND(IF('счеталка премий'!J35&lt;0,0,('Расчет участников НИР'!$H45*'счеталка премий'!Q35)),2),0)),2),0)</f>
        <v>0</v>
      </c>
      <c r="S43" s="310">
        <f>IFERROR(ROUND(IF(R43=0,ROUND(('Расчет участников НИР'!$H45*'счеталка премий'!Q35),2)-R43,0),2),0)</f>
        <v>0</v>
      </c>
      <c r="T43" s="310">
        <f t="shared" si="3"/>
        <v>0</v>
      </c>
      <c r="U43" s="306"/>
      <c r="V43" s="310">
        <f t="shared" si="10"/>
        <v>0</v>
      </c>
      <c r="W43" s="310" t="str">
        <f t="shared" si="11"/>
        <v>0,00</v>
      </c>
      <c r="X43" s="310">
        <f>IFERROR(ROUND(IF('Состав ВТК'!P38="",IF('Состав ВТК'!M38&gt;=Выплаты!$V$8,ROUND(IF('счеталка премий'!K35&lt;0,0,'Расчет участников НИР'!$H45*'счеталка премий'!R35),2),0),IF('Состав ВТК'!Q38&gt;=Выплаты!$V$8,ROUND(IF('счеталка премий'!K35&lt;0,0,'Расчет участников НИР'!$H45*'счеталка премий'!R35),2),0)),2),0)</f>
        <v>0</v>
      </c>
      <c r="Y43" s="310">
        <f>IFERROR(ROUND(IF(OR(IF('Состав ВТК'!L38="",AND('Состав ВТК'!Q38&lt;=Выплаты!$V$8,'Состав ВТК'!P38&lt;Выплаты!$V$8),AND('Состав ВТК'!M38&lt;=Выплаты!$V$8,'Состав ВТК'!$K38=справочник!$A$5)),W43=0),0,$Y$12/(Распределение!$N$11-SUMIF($W$14:$W$114,0,Распределение!$N$13:$N$125))*Распределение!N42),2),"0,00")</f>
        <v>0</v>
      </c>
      <c r="Z43" s="310">
        <f>IFERROR(ROUND(IF(X43=0,ROUND(('Расчет участников НИР'!$H45*'счеталка премий'!R35),2)-X43,0),2),0)</f>
        <v>0</v>
      </c>
      <c r="AA43" s="306"/>
      <c r="AB43" s="309">
        <f t="shared" si="12"/>
        <v>0</v>
      </c>
      <c r="AC43" s="309">
        <f t="shared" si="4"/>
        <v>0</v>
      </c>
      <c r="AE43" s="308"/>
    </row>
    <row r="44" spans="1:31" hidden="1" x14ac:dyDescent="0.25">
      <c r="A44" s="247">
        <v>31</v>
      </c>
      <c r="B44" s="602">
        <f>'Состав ВТК'!$B39</f>
        <v>0</v>
      </c>
      <c r="C44" s="310" t="str">
        <f>IFERROR(VLOOKUP($B44,'Состав ВТК'!$B$9:$I$108,7,FALSE),"-")</f>
        <v>-</v>
      </c>
      <c r="D44" s="310" t="str">
        <f>IFERROR(VLOOKUP($B44,'Состав ВТК'!$B$9:$I$108,8,FALSE),"-")</f>
        <v>-</v>
      </c>
      <c r="E44" s="310">
        <f>ROUND(IF($B44='Расчет участников НИР'!$A46,'Расчет участников НИР'!$M46),2)</f>
        <v>0</v>
      </c>
      <c r="F44" s="310">
        <f>ROUND('Расчет участников НИР'!$H46*50%-$E44,2)</f>
        <v>0</v>
      </c>
      <c r="G44" s="310" t="str">
        <f t="shared" si="5"/>
        <v>0,00</v>
      </c>
      <c r="H44" s="310">
        <f>IFERROR(ROUND(IF('Состав ВТК'!P39="",IF(AND('Состав ВТК'!M39&gt;=Выплаты!$G$8,'Состав ВТК'!L39&lt;=Выплаты!$G$8),ROUND(('Расчет участников НИР'!$H46*'счеталка премий'!O36),2),0),IF(AND('Состав ВТК'!Q39&gt;=Выплаты!$G$8,'Состав ВТК'!P39&lt;=Выплаты!$G$8),ROUND(('Расчет участников НИР'!$H46*'счеталка премий'!O36),2),0)),2),0)</f>
        <v>0</v>
      </c>
      <c r="I44" s="310">
        <f>IFERROR(ROUND(IF(H44=0,ROUND(('Расчет участников НИР'!$H46*'счеталка премий'!O36),2)-H44,0),2),0)</f>
        <v>0</v>
      </c>
      <c r="J44" s="310">
        <f t="shared" si="6"/>
        <v>0</v>
      </c>
      <c r="K44" s="306"/>
      <c r="L44" s="310" t="str">
        <f t="shared" si="7"/>
        <v>0,00</v>
      </c>
      <c r="M44" s="310">
        <f>IFERROR(ROUND(IF('Состав ВТК'!P39="",IF(AND('Состав ВТК'!M39&gt;=Выплаты!$L$8,'Состав ВТК'!L39&lt;=Выплаты!$L$8),ROUND(IF('счеталка премий'!I36&lt;0,0,('Расчет участников НИР'!$H46*'счеталка премий'!P36)),2),0),IF(AND('Состав ВТК'!Q39&gt;=Выплаты!$L$8,'Состав ВТК'!P39&lt;=Выплаты!$L$8),ROUND(IF('счеталка премий'!I36&lt;0,0,('Расчет участников НИР'!$H46*'счеталка премий'!P36)),2),0)),2),0)</f>
        <v>0</v>
      </c>
      <c r="N44" s="310">
        <f>IFERROR(ROUND(IF(M44=0,ROUND(('Расчет участников НИР'!$H46*'счеталка премий'!P36),2)-M44,0),2),0)</f>
        <v>0</v>
      </c>
      <c r="O44" s="310">
        <f t="shared" si="8"/>
        <v>0</v>
      </c>
      <c r="P44" s="306"/>
      <c r="Q44" s="310" t="str">
        <f t="shared" si="9"/>
        <v>0,00</v>
      </c>
      <c r="R44" s="310">
        <f>IFERROR(ROUND(IF('Состав ВТК'!P39="",IF(AND('Состав ВТК'!M39&gt;=Выплаты!$Q$8,'Состав ВТК'!L39&lt;=Выплаты!$Q$8),ROUND(IF('счеталка премий'!J36&lt;0,0,('Расчет участников НИР'!$H46*'счеталка премий'!Q36)),2),0),IF(AND('Состав ВТК'!Q39&gt;=Выплаты!$Q$8,'Состав ВТК'!P39&lt;=Выплаты!$Q$8),ROUND(IF('счеталка премий'!J36&lt;0,0,('Расчет участников НИР'!$H46*'счеталка премий'!Q36)),2),0)),2),0)</f>
        <v>0</v>
      </c>
      <c r="S44" s="310">
        <f>IFERROR(ROUND(IF(R44=0,ROUND(('Расчет участников НИР'!$H46*'счеталка премий'!Q36),2)-R44,0),2),0)</f>
        <v>0</v>
      </c>
      <c r="T44" s="310">
        <f t="shared" si="3"/>
        <v>0</v>
      </c>
      <c r="U44" s="306"/>
      <c r="V44" s="310">
        <f t="shared" si="10"/>
        <v>0</v>
      </c>
      <c r="W44" s="310" t="str">
        <f t="shared" si="11"/>
        <v>0,00</v>
      </c>
      <c r="X44" s="310">
        <f>IFERROR(ROUND(IF('Состав ВТК'!P39="",IF('Состав ВТК'!M39&gt;=Выплаты!$V$8,ROUND(IF('счеталка премий'!K36&lt;0,0,'Расчет участников НИР'!$H46*'счеталка премий'!R36),2),0),IF('Состав ВТК'!Q39&gt;=Выплаты!$V$8,ROUND(IF('счеталка премий'!K36&lt;0,0,'Расчет участников НИР'!$H46*'счеталка премий'!R36),2),0)),2),0)</f>
        <v>0</v>
      </c>
      <c r="Y44" s="310">
        <f>IFERROR(ROUND(IF(OR(IF('Состав ВТК'!L39="",AND('Состав ВТК'!Q39&lt;=Выплаты!$V$8,'Состав ВТК'!P39&lt;Выплаты!$V$8),AND('Состав ВТК'!M39&lt;=Выплаты!$V$8,'Состав ВТК'!$K39=справочник!$A$5)),W44=0),0,$Y$12/(Распределение!$N$11-SUMIF($W$14:$W$114,0,Распределение!$N$13:$N$125))*Распределение!N43),2),"0,00")</f>
        <v>0</v>
      </c>
      <c r="Z44" s="310">
        <f>IFERROR(ROUND(IF(X44=0,ROUND(('Расчет участников НИР'!$H46*'счеталка премий'!R36),2)-X44,0),2),0)</f>
        <v>0</v>
      </c>
      <c r="AA44" s="306"/>
      <c r="AB44" s="309">
        <f t="shared" si="12"/>
        <v>0</v>
      </c>
      <c r="AC44" s="309">
        <f t="shared" si="4"/>
        <v>0</v>
      </c>
      <c r="AE44" s="308"/>
    </row>
    <row r="45" spans="1:31" hidden="1" x14ac:dyDescent="0.25">
      <c r="A45" s="247">
        <v>32</v>
      </c>
      <c r="B45" s="602">
        <f>'Состав ВТК'!$B40</f>
        <v>0</v>
      </c>
      <c r="C45" s="310" t="str">
        <f>IFERROR(VLOOKUP($B45,'Состав ВТК'!$B$9:$I$108,7,FALSE),"-")</f>
        <v>-</v>
      </c>
      <c r="D45" s="310" t="str">
        <f>IFERROR(VLOOKUP($B45,'Состав ВТК'!$B$9:$I$108,8,FALSE),"-")</f>
        <v>-</v>
      </c>
      <c r="E45" s="310">
        <f>ROUND(IF($B45='Расчет участников НИР'!$A47,'Расчет участников НИР'!$M47),2)</f>
        <v>0</v>
      </c>
      <c r="F45" s="310">
        <f>ROUND('Расчет участников НИР'!$H47*50%-$E45,2)</f>
        <v>0</v>
      </c>
      <c r="G45" s="310" t="str">
        <f t="shared" si="5"/>
        <v>0,00</v>
      </c>
      <c r="H45" s="310">
        <f>IFERROR(ROUND(IF('Состав ВТК'!P40="",IF(AND('Состав ВТК'!M40&gt;=Выплаты!$G$8,'Состав ВТК'!L40&lt;=Выплаты!$G$8),ROUND(('Расчет участников НИР'!$H47*'счеталка премий'!O37),2),0),IF(AND('Состав ВТК'!Q40&gt;=Выплаты!$G$8,'Состав ВТК'!P40&lt;=Выплаты!$G$8),ROUND(('Расчет участников НИР'!$H47*'счеталка премий'!O37),2),0)),2),0)</f>
        <v>0</v>
      </c>
      <c r="I45" s="310">
        <f>IFERROR(ROUND(IF(H45=0,ROUND(('Расчет участников НИР'!$H47*'счеталка премий'!O37),2)-H45,0),2),0)</f>
        <v>0</v>
      </c>
      <c r="J45" s="310">
        <f t="shared" si="6"/>
        <v>0</v>
      </c>
      <c r="K45" s="306"/>
      <c r="L45" s="310" t="str">
        <f t="shared" si="7"/>
        <v>0,00</v>
      </c>
      <c r="M45" s="310">
        <f>IFERROR(ROUND(IF('Состав ВТК'!P40="",IF(AND('Состав ВТК'!M40&gt;=Выплаты!$L$8,'Состав ВТК'!L40&lt;=Выплаты!$L$8),ROUND(IF('счеталка премий'!I37&lt;0,0,('Расчет участников НИР'!$H47*'счеталка премий'!P37)),2),0),IF(AND('Состав ВТК'!Q40&gt;=Выплаты!$L$8,'Состав ВТК'!P40&lt;=Выплаты!$L$8),ROUND(IF('счеталка премий'!I37&lt;0,0,('Расчет участников НИР'!$H47*'счеталка премий'!P37)),2),0)),2),0)</f>
        <v>0</v>
      </c>
      <c r="N45" s="310">
        <f>IFERROR(ROUND(IF(M45=0,ROUND(('Расчет участников НИР'!$H47*'счеталка премий'!P37),2)-M45,0),2),0)</f>
        <v>0</v>
      </c>
      <c r="O45" s="310">
        <f t="shared" si="8"/>
        <v>0</v>
      </c>
      <c r="P45" s="306"/>
      <c r="Q45" s="310" t="str">
        <f t="shared" si="9"/>
        <v>0,00</v>
      </c>
      <c r="R45" s="310">
        <f>IFERROR(ROUND(IF('Состав ВТК'!P40="",IF(AND('Состав ВТК'!M40&gt;=Выплаты!$Q$8,'Состав ВТК'!L40&lt;=Выплаты!$Q$8),ROUND(IF('счеталка премий'!J37&lt;0,0,('Расчет участников НИР'!$H47*'счеталка премий'!Q37)),2),0),IF(AND('Состав ВТК'!Q40&gt;=Выплаты!$Q$8,'Состав ВТК'!P40&lt;=Выплаты!$Q$8),ROUND(IF('счеталка премий'!J37&lt;0,0,('Расчет участников НИР'!$H47*'счеталка премий'!Q37)),2),0)),2),0)</f>
        <v>0</v>
      </c>
      <c r="S45" s="310">
        <f>IFERROR(ROUND(IF(R45=0,ROUND(('Расчет участников НИР'!$H47*'счеталка премий'!Q37),2)-R45,0),2),0)</f>
        <v>0</v>
      </c>
      <c r="T45" s="310">
        <f t="shared" si="3"/>
        <v>0</v>
      </c>
      <c r="U45" s="306"/>
      <c r="V45" s="310">
        <f t="shared" si="10"/>
        <v>0</v>
      </c>
      <c r="W45" s="310" t="str">
        <f t="shared" si="11"/>
        <v>0,00</v>
      </c>
      <c r="X45" s="310">
        <f>IFERROR(ROUND(IF('Состав ВТК'!P40="",IF('Состав ВТК'!M40&gt;=Выплаты!$V$8,ROUND(IF('счеталка премий'!K37&lt;0,0,'Расчет участников НИР'!$H47*'счеталка премий'!R37),2),0),IF('Состав ВТК'!Q40&gt;=Выплаты!$V$8,ROUND(IF('счеталка премий'!K37&lt;0,0,'Расчет участников НИР'!$H47*'счеталка премий'!R37),2),0)),2),0)</f>
        <v>0</v>
      </c>
      <c r="Y45" s="310">
        <f>IFERROR(ROUND(IF(OR(IF('Состав ВТК'!L40="",AND('Состав ВТК'!Q40&lt;=Выплаты!$V$8,'Состав ВТК'!P40&lt;Выплаты!$V$8),AND('Состав ВТК'!M40&lt;=Выплаты!$V$8,'Состав ВТК'!$K40=справочник!$A$5)),W45=0),0,$Y$12/(Распределение!$N$11-SUMIF($W$14:$W$114,0,Распределение!$N$13:$N$125))*Распределение!N44),2),"0,00")</f>
        <v>0</v>
      </c>
      <c r="Z45" s="310">
        <f>IFERROR(ROUND(IF(X45=0,ROUND(('Расчет участников НИР'!$H47*'счеталка премий'!R37),2)-X45,0),2),0)</f>
        <v>0</v>
      </c>
      <c r="AA45" s="306"/>
      <c r="AB45" s="309">
        <f t="shared" si="12"/>
        <v>0</v>
      </c>
      <c r="AC45" s="309">
        <f t="shared" si="4"/>
        <v>0</v>
      </c>
      <c r="AE45" s="308"/>
    </row>
    <row r="46" spans="1:31" hidden="1" x14ac:dyDescent="0.25">
      <c r="A46" s="247">
        <v>33</v>
      </c>
      <c r="B46" s="602">
        <f>'Состав ВТК'!$B41</f>
        <v>0</v>
      </c>
      <c r="C46" s="310" t="str">
        <f>IFERROR(VLOOKUP($B46,'Состав ВТК'!$B$9:$I$108,7,FALSE),"-")</f>
        <v>-</v>
      </c>
      <c r="D46" s="310" t="str">
        <f>IFERROR(VLOOKUP($B46,'Состав ВТК'!$B$9:$I$108,8,FALSE),"-")</f>
        <v>-</v>
      </c>
      <c r="E46" s="310">
        <f>ROUND(IF($B46='Расчет участников НИР'!$A48,'Расчет участников НИР'!$M48),2)</f>
        <v>0</v>
      </c>
      <c r="F46" s="310">
        <f>ROUND('Расчет участников НИР'!$H48*50%-$E46,2)</f>
        <v>0</v>
      </c>
      <c r="G46" s="310" t="str">
        <f t="shared" si="5"/>
        <v>0,00</v>
      </c>
      <c r="H46" s="310">
        <f>IFERROR(ROUND(IF('Состав ВТК'!P41="",IF(AND('Состав ВТК'!M41&gt;=Выплаты!$G$8,'Состав ВТК'!L41&lt;=Выплаты!$G$8),ROUND(('Расчет участников НИР'!$H48*'счеталка премий'!O38),2),0),IF(AND('Состав ВТК'!Q41&gt;=Выплаты!$G$8,'Состав ВТК'!P41&lt;=Выплаты!$G$8),ROUND(('Расчет участников НИР'!$H48*'счеталка премий'!O38),2),0)),2),0)</f>
        <v>0</v>
      </c>
      <c r="I46" s="310">
        <f>IFERROR(ROUND(IF(H46=0,ROUND(('Расчет участников НИР'!$H48*'счеталка премий'!O38),2)-H46,0),2),0)</f>
        <v>0</v>
      </c>
      <c r="J46" s="310">
        <f t="shared" si="6"/>
        <v>0</v>
      </c>
      <c r="K46" s="306"/>
      <c r="L46" s="310" t="str">
        <f t="shared" si="7"/>
        <v>0,00</v>
      </c>
      <c r="M46" s="310">
        <f>IFERROR(ROUND(IF('Состав ВТК'!P41="",IF(AND('Состав ВТК'!M41&gt;=Выплаты!$L$8,'Состав ВТК'!L41&lt;=Выплаты!$L$8),ROUND(IF('счеталка премий'!I38&lt;0,0,('Расчет участников НИР'!$H48*'счеталка премий'!P38)),2),0),IF(AND('Состав ВТК'!Q41&gt;=Выплаты!$L$8,'Состав ВТК'!P41&lt;=Выплаты!$L$8),ROUND(IF('счеталка премий'!I38&lt;0,0,('Расчет участников НИР'!$H48*'счеталка премий'!P38)),2),0)),2),0)</f>
        <v>0</v>
      </c>
      <c r="N46" s="310">
        <f>IFERROR(ROUND(IF(M46=0,ROUND(('Расчет участников НИР'!$H48*'счеталка премий'!P38),2)-M46,0),2),0)</f>
        <v>0</v>
      </c>
      <c r="O46" s="310">
        <f t="shared" ref="O46:O77" si="13">ROUND(L46*0.5,2)</f>
        <v>0</v>
      </c>
      <c r="P46" s="306"/>
      <c r="Q46" s="310" t="str">
        <f t="shared" si="9"/>
        <v>0,00</v>
      </c>
      <c r="R46" s="310">
        <f>IFERROR(ROUND(IF('Состав ВТК'!P41="",IF(AND('Состав ВТК'!M41&gt;=Выплаты!$Q$8,'Состав ВТК'!L41&lt;=Выплаты!$Q$8),ROUND(IF('счеталка премий'!J38&lt;0,0,('Расчет участников НИР'!$H48*'счеталка премий'!Q38)),2),0),IF(AND('Состав ВТК'!Q41&gt;=Выплаты!$Q$8,'Состав ВТК'!P41&lt;=Выплаты!$Q$8),ROUND(IF('счеталка премий'!J38&lt;0,0,('Расчет участников НИР'!$H48*'счеталка премий'!Q38)),2),0)),2),0)</f>
        <v>0</v>
      </c>
      <c r="S46" s="310">
        <f>IFERROR(ROUND(IF(R46=0,ROUND(('Расчет участников НИР'!$H48*'счеталка премий'!Q38),2)-R46,0),2),0)</f>
        <v>0</v>
      </c>
      <c r="T46" s="310">
        <f t="shared" ref="T46:T77" si="14">ROUND(Q46*0.5,2)</f>
        <v>0</v>
      </c>
      <c r="U46" s="306"/>
      <c r="V46" s="310">
        <f t="shared" si="10"/>
        <v>0</v>
      </c>
      <c r="W46" s="310" t="str">
        <f t="shared" si="11"/>
        <v>0,00</v>
      </c>
      <c r="X46" s="310">
        <f>IFERROR(ROUND(IF('Состав ВТК'!P41="",IF('Состав ВТК'!M41&gt;=Выплаты!$V$8,ROUND(IF('счеталка премий'!K38&lt;0,0,'Расчет участников НИР'!$H48*'счеталка премий'!R38),2),0),IF('Состав ВТК'!Q41&gt;=Выплаты!$V$8,ROUND(IF('счеталка премий'!K38&lt;0,0,'Расчет участников НИР'!$H48*'счеталка премий'!R38),2),0)),2),0)</f>
        <v>0</v>
      </c>
      <c r="Y46" s="310">
        <f>IFERROR(ROUND(IF(OR(IF('Состав ВТК'!L41="",AND('Состав ВТК'!Q41&lt;=Выплаты!$V$8,'Состав ВТК'!P41&lt;Выплаты!$V$8),AND('Состав ВТК'!M41&lt;=Выплаты!$V$8,'Состав ВТК'!$K41=справочник!$A$5)),W46=0),0,$Y$12/(Распределение!$N$11-SUMIF($W$14:$W$114,0,Распределение!$N$13:$N$125))*Распределение!N45),2),"0,00")</f>
        <v>0</v>
      </c>
      <c r="Z46" s="310">
        <f>IFERROR(ROUND(IF(X46=0,ROUND(('Расчет участников НИР'!$H48*'счеталка премий'!R38),2)-X46,0),2),0)</f>
        <v>0</v>
      </c>
      <c r="AA46" s="306"/>
      <c r="AB46" s="309">
        <f t="shared" si="12"/>
        <v>0</v>
      </c>
      <c r="AC46" s="309">
        <f t="shared" ref="AC46:AC77" si="15">ROUND(E46+F46+J46+K46+O46+P46+T46+U46+AA46,2)</f>
        <v>0</v>
      </c>
      <c r="AE46" s="308"/>
    </row>
    <row r="47" spans="1:31" hidden="1" x14ac:dyDescent="0.25">
      <c r="A47" s="247">
        <v>34</v>
      </c>
      <c r="B47" s="602">
        <f>'Состав ВТК'!$B42</f>
        <v>0</v>
      </c>
      <c r="C47" s="310" t="str">
        <f>IFERROR(VLOOKUP($B47,'Состав ВТК'!$B$9:$I$108,7,FALSE),"-")</f>
        <v>-</v>
      </c>
      <c r="D47" s="310" t="str">
        <f>IFERROR(VLOOKUP($B47,'Состав ВТК'!$B$9:$I$108,8,FALSE),"-")</f>
        <v>-</v>
      </c>
      <c r="E47" s="310">
        <f>ROUND(IF($B47='Расчет участников НИР'!$A49,'Расчет участников НИР'!$M49),2)</f>
        <v>0</v>
      </c>
      <c r="F47" s="310">
        <f>ROUND('Расчет участников НИР'!$H49*50%-$E47,2)</f>
        <v>0</v>
      </c>
      <c r="G47" s="310" t="str">
        <f t="shared" si="5"/>
        <v>0,00</v>
      </c>
      <c r="H47" s="310">
        <f>IFERROR(ROUND(IF('Состав ВТК'!P42="",IF(AND('Состав ВТК'!M42&gt;=Выплаты!$G$8,'Состав ВТК'!L42&lt;=Выплаты!$G$8),ROUND(('Расчет участников НИР'!$H49*'счеталка премий'!O39),2),0),IF(AND('Состав ВТК'!Q42&gt;=Выплаты!$G$8,'Состав ВТК'!P42&lt;=Выплаты!$G$8),ROUND(('Расчет участников НИР'!$H49*'счеталка премий'!O39),2),0)),2),0)</f>
        <v>0</v>
      </c>
      <c r="I47" s="310">
        <f>IFERROR(ROUND(IF(H47=0,ROUND(('Расчет участников НИР'!$H49*'счеталка премий'!O39),2)-H47,0),2),0)</f>
        <v>0</v>
      </c>
      <c r="J47" s="310">
        <f t="shared" si="6"/>
        <v>0</v>
      </c>
      <c r="K47" s="306"/>
      <c r="L47" s="310" t="str">
        <f t="shared" si="7"/>
        <v>0,00</v>
      </c>
      <c r="M47" s="310">
        <f>IFERROR(ROUND(IF('Состав ВТК'!P42="",IF(AND('Состав ВТК'!M42&gt;=Выплаты!$L$8,'Состав ВТК'!L42&lt;=Выплаты!$L$8),ROUND(IF('счеталка премий'!I39&lt;0,0,('Расчет участников НИР'!$H49*'счеталка премий'!P39)),2),0),IF(AND('Состав ВТК'!Q42&gt;=Выплаты!$L$8,'Состав ВТК'!P42&lt;=Выплаты!$L$8),ROUND(IF('счеталка премий'!I39&lt;0,0,('Расчет участников НИР'!$H49*'счеталка премий'!P39)),2),0)),2),0)</f>
        <v>0</v>
      </c>
      <c r="N47" s="310">
        <f>IFERROR(ROUND(IF(M47=0,ROUND(('Расчет участников НИР'!$H49*'счеталка премий'!P39),2)-M47,0),2),0)</f>
        <v>0</v>
      </c>
      <c r="O47" s="310">
        <f t="shared" si="13"/>
        <v>0</v>
      </c>
      <c r="P47" s="306"/>
      <c r="Q47" s="310" t="str">
        <f t="shared" si="9"/>
        <v>0,00</v>
      </c>
      <c r="R47" s="310">
        <f>IFERROR(ROUND(IF('Состав ВТК'!P42="",IF(AND('Состав ВТК'!M42&gt;=Выплаты!$Q$8,'Состав ВТК'!L42&lt;=Выплаты!$Q$8),ROUND(IF('счеталка премий'!J39&lt;0,0,('Расчет участников НИР'!$H49*'счеталка премий'!Q39)),2),0),IF(AND('Состав ВТК'!Q42&gt;=Выплаты!$Q$8,'Состав ВТК'!P42&lt;=Выплаты!$Q$8),ROUND(IF('счеталка премий'!J39&lt;0,0,('Расчет участников НИР'!$H49*'счеталка премий'!Q39)),2),0)),2),0)</f>
        <v>0</v>
      </c>
      <c r="S47" s="310">
        <f>IFERROR(ROUND(IF(R47=0,ROUND(('Расчет участников НИР'!$H49*'счеталка премий'!Q39),2)-R47,0),2),0)</f>
        <v>0</v>
      </c>
      <c r="T47" s="310">
        <f t="shared" si="14"/>
        <v>0</v>
      </c>
      <c r="U47" s="306"/>
      <c r="V47" s="310">
        <f t="shared" si="10"/>
        <v>0</v>
      </c>
      <c r="W47" s="310" t="str">
        <f t="shared" si="11"/>
        <v>0,00</v>
      </c>
      <c r="X47" s="310">
        <f>IFERROR(ROUND(IF('Состав ВТК'!P42="",IF('Состав ВТК'!M42&gt;=Выплаты!$V$8,ROUND(IF('счеталка премий'!K39&lt;0,0,'Расчет участников НИР'!$H49*'счеталка премий'!R39),2),0),IF('Состав ВТК'!Q42&gt;=Выплаты!$V$8,ROUND(IF('счеталка премий'!K39&lt;0,0,'Расчет участников НИР'!$H49*'счеталка премий'!R39),2),0)),2),0)</f>
        <v>0</v>
      </c>
      <c r="Y47" s="310">
        <f>IFERROR(ROUND(IF(OR(IF('Состав ВТК'!L42="",AND('Состав ВТК'!Q42&lt;=Выплаты!$V$8,'Состав ВТК'!P42&lt;Выплаты!$V$8),AND('Состав ВТК'!M42&lt;=Выплаты!$V$8,'Состав ВТК'!$K42=справочник!$A$5)),W47=0),0,$Y$12/(Распределение!$N$11-SUMIF($W$14:$W$114,0,Распределение!$N$13:$N$125))*Распределение!N46),2),"0,00")</f>
        <v>0</v>
      </c>
      <c r="Z47" s="310">
        <f>IFERROR(ROUND(IF(X47=0,ROUND(('Расчет участников НИР'!$H49*'счеталка премий'!R39),2)-X47,0),2),0)</f>
        <v>0</v>
      </c>
      <c r="AA47" s="306"/>
      <c r="AB47" s="309">
        <f t="shared" si="12"/>
        <v>0</v>
      </c>
      <c r="AC47" s="309">
        <f t="shared" si="15"/>
        <v>0</v>
      </c>
      <c r="AE47" s="308"/>
    </row>
    <row r="48" spans="1:31" hidden="1" x14ac:dyDescent="0.25">
      <c r="A48" s="247">
        <v>35</v>
      </c>
      <c r="B48" s="602">
        <f>'Состав ВТК'!$B43</f>
        <v>0</v>
      </c>
      <c r="C48" s="310" t="str">
        <f>IFERROR(VLOOKUP($B48,'Состав ВТК'!$B$9:$I$108,7,FALSE),"-")</f>
        <v>-</v>
      </c>
      <c r="D48" s="310" t="str">
        <f>IFERROR(VLOOKUP($B48,'Состав ВТК'!$B$9:$I$108,8,FALSE),"-")</f>
        <v>-</v>
      </c>
      <c r="E48" s="310">
        <f>ROUND(IF($B48='Расчет участников НИР'!$A50,'Расчет участников НИР'!$M50),2)</f>
        <v>0</v>
      </c>
      <c r="F48" s="310">
        <f>ROUND('Расчет участников НИР'!$H50*50%-$E48,2)</f>
        <v>0</v>
      </c>
      <c r="G48" s="310" t="str">
        <f t="shared" si="5"/>
        <v>0,00</v>
      </c>
      <c r="H48" s="310">
        <f>IFERROR(ROUND(IF('Состав ВТК'!P43="",IF(AND('Состав ВТК'!M43&gt;=Выплаты!$G$8,'Состав ВТК'!L43&lt;=Выплаты!$G$8),ROUND(('Расчет участников НИР'!$H50*'счеталка премий'!O40),2),0),IF(AND('Состав ВТК'!Q43&gt;=Выплаты!$G$8,'Состав ВТК'!P43&lt;=Выплаты!$G$8),ROUND(('Расчет участников НИР'!$H50*'счеталка премий'!O40),2),0)),2),0)</f>
        <v>0</v>
      </c>
      <c r="I48" s="310">
        <f>IFERROR(ROUND(IF(H48=0,ROUND(('Расчет участников НИР'!$H50*'счеталка премий'!O40),2)-H48,0),2),0)</f>
        <v>0</v>
      </c>
      <c r="J48" s="310">
        <f t="shared" si="6"/>
        <v>0</v>
      </c>
      <c r="K48" s="306"/>
      <c r="L48" s="310" t="str">
        <f t="shared" si="7"/>
        <v>0,00</v>
      </c>
      <c r="M48" s="310">
        <f>IFERROR(ROUND(IF('Состав ВТК'!P43="",IF(AND('Состав ВТК'!M43&gt;=Выплаты!$L$8,'Состав ВТК'!L43&lt;=Выплаты!$L$8),ROUND(IF('счеталка премий'!I40&lt;0,0,('Расчет участников НИР'!$H50*'счеталка премий'!P40)),2),0),IF(AND('Состав ВТК'!Q43&gt;=Выплаты!$L$8,'Состав ВТК'!P43&lt;=Выплаты!$L$8),ROUND(IF('счеталка премий'!I40&lt;0,0,('Расчет участников НИР'!$H50*'счеталка премий'!P40)),2),0)),2),0)</f>
        <v>0</v>
      </c>
      <c r="N48" s="310">
        <f>IFERROR(ROUND(IF(M48=0,ROUND(('Расчет участников НИР'!$H50*'счеталка премий'!P40),2)-M48,0),2),0)</f>
        <v>0</v>
      </c>
      <c r="O48" s="310">
        <f t="shared" si="13"/>
        <v>0</v>
      </c>
      <c r="P48" s="306"/>
      <c r="Q48" s="310" t="str">
        <f t="shared" si="9"/>
        <v>0,00</v>
      </c>
      <c r="R48" s="310">
        <f>IFERROR(ROUND(IF('Состав ВТК'!P43="",IF(AND('Состав ВТК'!M43&gt;=Выплаты!$Q$8,'Состав ВТК'!L43&lt;=Выплаты!$Q$8),ROUND(IF('счеталка премий'!J40&lt;0,0,('Расчет участников НИР'!$H50*'счеталка премий'!Q40)),2),0),IF(AND('Состав ВТК'!Q43&gt;=Выплаты!$Q$8,'Состав ВТК'!P43&lt;=Выплаты!$Q$8),ROUND(IF('счеталка премий'!J40&lt;0,0,('Расчет участников НИР'!$H50*'счеталка премий'!Q40)),2),0)),2),0)</f>
        <v>0</v>
      </c>
      <c r="S48" s="310">
        <f>IFERROR(ROUND(IF(R48=0,ROUND(('Расчет участников НИР'!$H50*'счеталка премий'!Q40),2)-R48,0),2),0)</f>
        <v>0</v>
      </c>
      <c r="T48" s="310">
        <f t="shared" si="14"/>
        <v>0</v>
      </c>
      <c r="U48" s="306"/>
      <c r="V48" s="310">
        <f t="shared" si="10"/>
        <v>0</v>
      </c>
      <c r="W48" s="310" t="str">
        <f t="shared" si="11"/>
        <v>0,00</v>
      </c>
      <c r="X48" s="310">
        <f>IFERROR(ROUND(IF('Состав ВТК'!P43="",IF('Состав ВТК'!M43&gt;=Выплаты!$V$8,ROUND(IF('счеталка премий'!K40&lt;0,0,'Расчет участников НИР'!$H50*'счеталка премий'!R40),2),0),IF('Состав ВТК'!Q43&gt;=Выплаты!$V$8,ROUND(IF('счеталка премий'!K40&lt;0,0,'Расчет участников НИР'!$H50*'счеталка премий'!R40),2),0)),2),0)</f>
        <v>0</v>
      </c>
      <c r="Y48" s="310">
        <f>IFERROR(ROUND(IF(OR(IF('Состав ВТК'!L43="",AND('Состав ВТК'!Q43&lt;=Выплаты!$V$8,'Состав ВТК'!P43&lt;Выплаты!$V$8),AND('Состав ВТК'!M43&lt;=Выплаты!$V$8,'Состав ВТК'!$K43=справочник!$A$5)),W48=0),0,$Y$12/(Распределение!$N$11-SUMIF($W$14:$W$114,0,Распределение!$N$13:$N$125))*Распределение!N47),2),"0,00")</f>
        <v>0</v>
      </c>
      <c r="Z48" s="310">
        <f>IFERROR(ROUND(IF(X48=0,ROUND(('Расчет участников НИР'!$H50*'счеталка премий'!R40),2)-X48,0),2),0)</f>
        <v>0</v>
      </c>
      <c r="AA48" s="306"/>
      <c r="AB48" s="309">
        <f t="shared" si="12"/>
        <v>0</v>
      </c>
      <c r="AC48" s="309">
        <f t="shared" si="15"/>
        <v>0</v>
      </c>
      <c r="AE48" s="308"/>
    </row>
    <row r="49" spans="1:31" hidden="1" x14ac:dyDescent="0.25">
      <c r="A49" s="247">
        <v>36</v>
      </c>
      <c r="B49" s="602">
        <f>'Состав ВТК'!$B44</f>
        <v>0</v>
      </c>
      <c r="C49" s="310" t="str">
        <f>IFERROR(VLOOKUP($B49,'Состав ВТК'!$B$9:$I$108,7,FALSE),"-")</f>
        <v>-</v>
      </c>
      <c r="D49" s="310" t="str">
        <f>IFERROR(VLOOKUP($B49,'Состав ВТК'!$B$9:$I$108,8,FALSE),"-")</f>
        <v>-</v>
      </c>
      <c r="E49" s="310">
        <f>ROUND(IF($B49='Расчет участников НИР'!$A51,'Расчет участников НИР'!$M51),2)</f>
        <v>0</v>
      </c>
      <c r="F49" s="310">
        <f>ROUND('Расчет участников НИР'!$H51*50%-$E49,2)</f>
        <v>0</v>
      </c>
      <c r="G49" s="310" t="str">
        <f t="shared" si="5"/>
        <v>0,00</v>
      </c>
      <c r="H49" s="310">
        <f>IFERROR(ROUND(IF('Состав ВТК'!P44="",IF(AND('Состав ВТК'!M44&gt;=Выплаты!$G$8,'Состав ВТК'!L44&lt;=Выплаты!$G$8),ROUND(('Расчет участников НИР'!$H51*'счеталка премий'!O41),2),0),IF(AND('Состав ВТК'!Q44&gt;=Выплаты!$G$8,'Состав ВТК'!P44&lt;=Выплаты!$G$8),ROUND(('Расчет участников НИР'!$H51*'счеталка премий'!O41),2),0)),2),0)</f>
        <v>0</v>
      </c>
      <c r="I49" s="310">
        <f>IFERROR(ROUND(IF(H49=0,ROUND(('Расчет участников НИР'!$H51*'счеталка премий'!O41),2)-H49,0),2),0)</f>
        <v>0</v>
      </c>
      <c r="J49" s="310">
        <f t="shared" si="6"/>
        <v>0</v>
      </c>
      <c r="K49" s="306"/>
      <c r="L49" s="310" t="str">
        <f t="shared" si="7"/>
        <v>0,00</v>
      </c>
      <c r="M49" s="310">
        <f>IFERROR(ROUND(IF('Состав ВТК'!P44="",IF(AND('Состав ВТК'!M44&gt;=Выплаты!$L$8,'Состав ВТК'!L44&lt;=Выплаты!$L$8),ROUND(IF('счеталка премий'!I41&lt;0,0,('Расчет участников НИР'!$H51*'счеталка премий'!P41)),2),0),IF(AND('Состав ВТК'!Q44&gt;=Выплаты!$L$8,'Состав ВТК'!P44&lt;=Выплаты!$L$8),ROUND(IF('счеталка премий'!I41&lt;0,0,('Расчет участников НИР'!$H51*'счеталка премий'!P41)),2),0)),2),0)</f>
        <v>0</v>
      </c>
      <c r="N49" s="310">
        <f>IFERROR(ROUND(IF(M49=0,ROUND(('Расчет участников НИР'!$H51*'счеталка премий'!P41),2)-M49,0),2),0)</f>
        <v>0</v>
      </c>
      <c r="O49" s="310">
        <f t="shared" si="13"/>
        <v>0</v>
      </c>
      <c r="P49" s="306"/>
      <c r="Q49" s="310" t="str">
        <f t="shared" si="9"/>
        <v>0,00</v>
      </c>
      <c r="R49" s="310">
        <f>IFERROR(ROUND(IF('Состав ВТК'!P44="",IF(AND('Состав ВТК'!M44&gt;=Выплаты!$Q$8,'Состав ВТК'!L44&lt;=Выплаты!$Q$8),ROUND(IF('счеталка премий'!J41&lt;0,0,('Расчет участников НИР'!$H51*'счеталка премий'!Q41)),2),0),IF(AND('Состав ВТК'!Q44&gt;=Выплаты!$Q$8,'Состав ВТК'!P44&lt;=Выплаты!$Q$8),ROUND(IF('счеталка премий'!J41&lt;0,0,('Расчет участников НИР'!$H51*'счеталка премий'!Q41)),2),0)),2),0)</f>
        <v>0</v>
      </c>
      <c r="S49" s="310">
        <f>IFERROR(ROUND(IF(R49=0,ROUND(('Расчет участников НИР'!$H51*'счеталка премий'!Q41),2)-R49,0),2),0)</f>
        <v>0</v>
      </c>
      <c r="T49" s="310">
        <f t="shared" si="14"/>
        <v>0</v>
      </c>
      <c r="U49" s="306"/>
      <c r="V49" s="310">
        <f t="shared" si="10"/>
        <v>0</v>
      </c>
      <c r="W49" s="310" t="str">
        <f t="shared" si="11"/>
        <v>0,00</v>
      </c>
      <c r="X49" s="310">
        <f>IFERROR(ROUND(IF('Состав ВТК'!P44="",IF('Состав ВТК'!M44&gt;=Выплаты!$V$8,ROUND(IF('счеталка премий'!K41&lt;0,0,'Расчет участников НИР'!$H51*'счеталка премий'!R41),2),0),IF('Состав ВТК'!Q44&gt;=Выплаты!$V$8,ROUND(IF('счеталка премий'!K41&lt;0,0,'Расчет участников НИР'!$H51*'счеталка премий'!R41),2),0)),2),0)</f>
        <v>0</v>
      </c>
      <c r="Y49" s="310">
        <f>IFERROR(ROUND(IF(OR(IF('Состав ВТК'!L44="",AND('Состав ВТК'!Q44&lt;=Выплаты!$V$8,'Состав ВТК'!P44&lt;Выплаты!$V$8),AND('Состав ВТК'!M44&lt;=Выплаты!$V$8,'Состав ВТК'!$K44=справочник!$A$5)),W49=0),0,$Y$12/(Распределение!$N$11-SUMIF($W$14:$W$114,0,Распределение!$N$13:$N$125))*Распределение!N48),2),"0,00")</f>
        <v>0</v>
      </c>
      <c r="Z49" s="310">
        <f>IFERROR(ROUND(IF(X49=0,ROUND(('Расчет участников НИР'!$H51*'счеталка премий'!R41),2)-X49,0),2),0)</f>
        <v>0</v>
      </c>
      <c r="AA49" s="306"/>
      <c r="AB49" s="309">
        <f t="shared" si="12"/>
        <v>0</v>
      </c>
      <c r="AC49" s="309">
        <f t="shared" si="15"/>
        <v>0</v>
      </c>
      <c r="AE49" s="308"/>
    </row>
    <row r="50" spans="1:31" hidden="1" x14ac:dyDescent="0.25">
      <c r="A50" s="247">
        <v>37</v>
      </c>
      <c r="B50" s="602">
        <f>'Состав ВТК'!$B45</f>
        <v>0</v>
      </c>
      <c r="C50" s="310" t="str">
        <f>IFERROR(VLOOKUP($B50,'Состав ВТК'!$B$9:$I$108,7,FALSE),"-")</f>
        <v>-</v>
      </c>
      <c r="D50" s="310" t="str">
        <f>IFERROR(VLOOKUP($B50,'Состав ВТК'!$B$9:$I$108,8,FALSE),"-")</f>
        <v>-</v>
      </c>
      <c r="E50" s="310">
        <f>ROUND(IF($B50='Расчет участников НИР'!$A52,'Расчет участников НИР'!$M52),2)</f>
        <v>0</v>
      </c>
      <c r="F50" s="310">
        <f>ROUND('Расчет участников НИР'!$H52*50%-$E50,2)</f>
        <v>0</v>
      </c>
      <c r="G50" s="310" t="str">
        <f t="shared" si="5"/>
        <v>0,00</v>
      </c>
      <c r="H50" s="310">
        <f>IFERROR(ROUND(IF('Состав ВТК'!P45="",IF(AND('Состав ВТК'!M45&gt;=Выплаты!$G$8,'Состав ВТК'!L45&lt;=Выплаты!$G$8),ROUND(('Расчет участников НИР'!$H52*'счеталка премий'!O42),2),0),IF(AND('Состав ВТК'!Q45&gt;=Выплаты!$G$8,'Состав ВТК'!P45&lt;=Выплаты!$G$8),ROUND(('Расчет участников НИР'!$H52*'счеталка премий'!O42),2),0)),2),0)</f>
        <v>0</v>
      </c>
      <c r="I50" s="310">
        <f>IFERROR(ROUND(IF(H50=0,ROUND(('Расчет участников НИР'!$H52*'счеталка премий'!O42),2)-H50,0),2),0)</f>
        <v>0</v>
      </c>
      <c r="J50" s="310">
        <f t="shared" si="6"/>
        <v>0</v>
      </c>
      <c r="K50" s="306"/>
      <c r="L50" s="310" t="str">
        <f t="shared" si="7"/>
        <v>0,00</v>
      </c>
      <c r="M50" s="310">
        <f>IFERROR(ROUND(IF('Состав ВТК'!P45="",IF(AND('Состав ВТК'!M45&gt;=Выплаты!$L$8,'Состав ВТК'!L45&lt;=Выплаты!$L$8),ROUND(IF('счеталка премий'!I42&lt;0,0,('Расчет участников НИР'!$H52*'счеталка премий'!P42)),2),0),IF(AND('Состав ВТК'!Q45&gt;=Выплаты!$L$8,'Состав ВТК'!P45&lt;=Выплаты!$L$8),ROUND(IF('счеталка премий'!I42&lt;0,0,('Расчет участников НИР'!$H52*'счеталка премий'!P42)),2),0)),2),0)</f>
        <v>0</v>
      </c>
      <c r="N50" s="310">
        <f>IFERROR(ROUND(IF(M50=0,ROUND(('Расчет участников НИР'!$H52*'счеталка премий'!P42),2)-M50,0),2),0)</f>
        <v>0</v>
      </c>
      <c r="O50" s="310">
        <f t="shared" si="13"/>
        <v>0</v>
      </c>
      <c r="P50" s="306"/>
      <c r="Q50" s="310" t="str">
        <f t="shared" si="9"/>
        <v>0,00</v>
      </c>
      <c r="R50" s="310">
        <f>IFERROR(ROUND(IF('Состав ВТК'!P45="",IF(AND('Состав ВТК'!M45&gt;=Выплаты!$Q$8,'Состав ВТК'!L45&lt;=Выплаты!$Q$8),ROUND(IF('счеталка премий'!J42&lt;0,0,('Расчет участников НИР'!$H52*'счеталка премий'!Q42)),2),0),IF(AND('Состав ВТК'!Q45&gt;=Выплаты!$Q$8,'Состав ВТК'!P45&lt;=Выплаты!$Q$8),ROUND(IF('счеталка премий'!J42&lt;0,0,('Расчет участников НИР'!$H52*'счеталка премий'!Q42)),2),0)),2),0)</f>
        <v>0</v>
      </c>
      <c r="S50" s="310">
        <f>IFERROR(ROUND(IF(R50=0,ROUND(('Расчет участников НИР'!$H52*'счеталка премий'!Q42),2)-R50,0),2),0)</f>
        <v>0</v>
      </c>
      <c r="T50" s="310">
        <f t="shared" si="14"/>
        <v>0</v>
      </c>
      <c r="U50" s="306"/>
      <c r="V50" s="310">
        <f t="shared" si="10"/>
        <v>0</v>
      </c>
      <c r="W50" s="310" t="str">
        <f t="shared" si="11"/>
        <v>0,00</v>
      </c>
      <c r="X50" s="310">
        <f>IFERROR(ROUND(IF('Состав ВТК'!P45="",IF('Состав ВТК'!M45&gt;=Выплаты!$V$8,ROUND(IF('счеталка премий'!K42&lt;0,0,'Расчет участников НИР'!$H52*'счеталка премий'!R42),2),0),IF('Состав ВТК'!Q45&gt;=Выплаты!$V$8,ROUND(IF('счеталка премий'!K42&lt;0,0,'Расчет участников НИР'!$H52*'счеталка премий'!R42),2),0)),2),0)</f>
        <v>0</v>
      </c>
      <c r="Y50" s="310">
        <f>IFERROR(ROUND(IF(OR(IF('Состав ВТК'!L45="",AND('Состав ВТК'!Q45&lt;=Выплаты!$V$8,'Состав ВТК'!P45&lt;Выплаты!$V$8),AND('Состав ВТК'!M45&lt;=Выплаты!$V$8,'Состав ВТК'!$K45=справочник!$A$5)),W50=0),0,$Y$12/(Распределение!$N$11-SUMIF($W$14:$W$114,0,Распределение!$N$13:$N$125))*Распределение!N49),2),"0,00")</f>
        <v>0</v>
      </c>
      <c r="Z50" s="310">
        <f>IFERROR(ROUND(IF(X50=0,ROUND(('Расчет участников НИР'!$H52*'счеталка премий'!R42),2)-X50,0),2),0)</f>
        <v>0</v>
      </c>
      <c r="AA50" s="306"/>
      <c r="AB50" s="309">
        <f t="shared" si="12"/>
        <v>0</v>
      </c>
      <c r="AC50" s="309">
        <f t="shared" si="15"/>
        <v>0</v>
      </c>
      <c r="AE50" s="308"/>
    </row>
    <row r="51" spans="1:31" hidden="1" x14ac:dyDescent="0.25">
      <c r="A51" s="247">
        <v>38</v>
      </c>
      <c r="B51" s="602">
        <f>'Состав ВТК'!$B46</f>
        <v>0</v>
      </c>
      <c r="C51" s="310" t="str">
        <f>IFERROR(VLOOKUP($B51,'Состав ВТК'!$B$9:$I$108,7,FALSE),"-")</f>
        <v>-</v>
      </c>
      <c r="D51" s="310" t="str">
        <f>IFERROR(VLOOKUP($B51,'Состав ВТК'!$B$9:$I$108,8,FALSE),"-")</f>
        <v>-</v>
      </c>
      <c r="E51" s="310">
        <f>ROUND(IF($B51='Расчет участников НИР'!$A53,'Расчет участников НИР'!$M53),2)</f>
        <v>0</v>
      </c>
      <c r="F51" s="310">
        <f>ROUND('Расчет участников НИР'!$H53*50%-$E51,2)</f>
        <v>0</v>
      </c>
      <c r="G51" s="310" t="str">
        <f t="shared" si="5"/>
        <v>0,00</v>
      </c>
      <c r="H51" s="310">
        <f>IFERROR(ROUND(IF('Состав ВТК'!P46="",IF(AND('Состав ВТК'!M46&gt;=Выплаты!$G$8,'Состав ВТК'!L46&lt;=Выплаты!$G$8),ROUND(('Расчет участников НИР'!$H53*'счеталка премий'!O43),2),0),IF(AND('Состав ВТК'!Q46&gt;=Выплаты!$G$8,'Состав ВТК'!P46&lt;=Выплаты!$G$8),ROUND(('Расчет участников НИР'!$H53*'счеталка премий'!O43),2),0)),2),0)</f>
        <v>0</v>
      </c>
      <c r="I51" s="310">
        <f>IFERROR(ROUND(IF(H51=0,ROUND(('Расчет участников НИР'!$H53*'счеталка премий'!O43),2)-H51,0),2),0)</f>
        <v>0</v>
      </c>
      <c r="J51" s="310">
        <f t="shared" si="6"/>
        <v>0</v>
      </c>
      <c r="K51" s="306"/>
      <c r="L51" s="310" t="str">
        <f t="shared" si="7"/>
        <v>0,00</v>
      </c>
      <c r="M51" s="310">
        <f>IFERROR(ROUND(IF('Состав ВТК'!P46="",IF(AND('Состав ВТК'!M46&gt;=Выплаты!$L$8,'Состав ВТК'!L46&lt;=Выплаты!$L$8),ROUND(IF('счеталка премий'!I43&lt;0,0,('Расчет участников НИР'!$H53*'счеталка премий'!P43)),2),0),IF(AND('Состав ВТК'!Q46&gt;=Выплаты!$L$8,'Состав ВТК'!P46&lt;=Выплаты!$L$8),ROUND(IF('счеталка премий'!I43&lt;0,0,('Расчет участников НИР'!$H53*'счеталка премий'!P43)),2),0)),2),0)</f>
        <v>0</v>
      </c>
      <c r="N51" s="310">
        <f>IFERROR(ROUND(IF(M51=0,ROUND(('Расчет участников НИР'!$H53*'счеталка премий'!P43),2)-M51,0),2),0)</f>
        <v>0</v>
      </c>
      <c r="O51" s="310">
        <f t="shared" si="13"/>
        <v>0</v>
      </c>
      <c r="P51" s="306"/>
      <c r="Q51" s="310" t="str">
        <f t="shared" si="9"/>
        <v>0,00</v>
      </c>
      <c r="R51" s="310">
        <f>IFERROR(ROUND(IF('Состав ВТК'!P46="",IF(AND('Состав ВТК'!M46&gt;=Выплаты!$Q$8,'Состав ВТК'!L46&lt;=Выплаты!$Q$8),ROUND(IF('счеталка премий'!J43&lt;0,0,('Расчет участников НИР'!$H53*'счеталка премий'!Q43)),2),0),IF(AND('Состав ВТК'!Q46&gt;=Выплаты!$Q$8,'Состав ВТК'!P46&lt;=Выплаты!$Q$8),ROUND(IF('счеталка премий'!J43&lt;0,0,('Расчет участников НИР'!$H53*'счеталка премий'!Q43)),2),0)),2),0)</f>
        <v>0</v>
      </c>
      <c r="S51" s="310">
        <f>IFERROR(ROUND(IF(R51=0,ROUND(('Расчет участников НИР'!$H53*'счеталка премий'!Q43),2)-R51,0),2),0)</f>
        <v>0</v>
      </c>
      <c r="T51" s="310">
        <f t="shared" si="14"/>
        <v>0</v>
      </c>
      <c r="U51" s="306"/>
      <c r="V51" s="310">
        <f t="shared" si="10"/>
        <v>0</v>
      </c>
      <c r="W51" s="310" t="str">
        <f t="shared" si="11"/>
        <v>0,00</v>
      </c>
      <c r="X51" s="310">
        <f>IFERROR(ROUND(IF('Состав ВТК'!P46="",IF('Состав ВТК'!M46&gt;=Выплаты!$V$8,ROUND(IF('счеталка премий'!K43&lt;0,0,'Расчет участников НИР'!$H53*'счеталка премий'!R43),2),0),IF('Состав ВТК'!Q46&gt;=Выплаты!$V$8,ROUND(IF('счеталка премий'!K43&lt;0,0,'Расчет участников НИР'!$H53*'счеталка премий'!R43),2),0)),2),0)</f>
        <v>0</v>
      </c>
      <c r="Y51" s="310">
        <f>IFERROR(ROUND(IF(OR(IF('Состав ВТК'!L46="",AND('Состав ВТК'!Q46&lt;=Выплаты!$V$8,'Состав ВТК'!P46&lt;Выплаты!$V$8),AND('Состав ВТК'!M46&lt;=Выплаты!$V$8,'Состав ВТК'!$K46=справочник!$A$5)),W51=0),0,$Y$12/(Распределение!$N$11-SUMIF($W$14:$W$114,0,Распределение!$N$13:$N$125))*Распределение!N50),2),"0,00")</f>
        <v>0</v>
      </c>
      <c r="Z51" s="310">
        <f>IFERROR(ROUND(IF(X51=0,ROUND(('Расчет участников НИР'!$H53*'счеталка премий'!R43),2)-X51,0),2),0)</f>
        <v>0</v>
      </c>
      <c r="AA51" s="306"/>
      <c r="AB51" s="309">
        <f t="shared" si="12"/>
        <v>0</v>
      </c>
      <c r="AC51" s="309">
        <f t="shared" si="15"/>
        <v>0</v>
      </c>
      <c r="AE51" s="308"/>
    </row>
    <row r="52" spans="1:31" hidden="1" x14ac:dyDescent="0.25">
      <c r="A52" s="247">
        <v>39</v>
      </c>
      <c r="B52" s="602">
        <f>'Состав ВТК'!$B47</f>
        <v>0</v>
      </c>
      <c r="C52" s="310" t="str">
        <f>IFERROR(VLOOKUP($B52,'Состав ВТК'!$B$9:$I$108,7,FALSE),"-")</f>
        <v>-</v>
      </c>
      <c r="D52" s="310" t="str">
        <f>IFERROR(VLOOKUP($B52,'Состав ВТК'!$B$9:$I$108,8,FALSE),"-")</f>
        <v>-</v>
      </c>
      <c r="E52" s="310">
        <f>ROUND(IF($B52='Расчет участников НИР'!$A54,'Расчет участников НИР'!$M54),2)</f>
        <v>0</v>
      </c>
      <c r="F52" s="310">
        <f>ROUND('Расчет участников НИР'!$H54*50%-$E52,2)</f>
        <v>0</v>
      </c>
      <c r="G52" s="310" t="str">
        <f t="shared" si="5"/>
        <v>0,00</v>
      </c>
      <c r="H52" s="310">
        <f>IFERROR(ROUND(IF('Состав ВТК'!P47="",IF(AND('Состав ВТК'!M47&gt;=Выплаты!$G$8,'Состав ВТК'!L47&lt;=Выплаты!$G$8),ROUND(('Расчет участников НИР'!$H54*'счеталка премий'!O44),2),0),IF(AND('Состав ВТК'!Q47&gt;=Выплаты!$G$8,'Состав ВТК'!P47&lt;=Выплаты!$G$8),ROUND(('Расчет участников НИР'!$H54*'счеталка премий'!O44),2),0)),2),0)</f>
        <v>0</v>
      </c>
      <c r="I52" s="310">
        <f>IFERROR(ROUND(IF(H52=0,ROUND(('Расчет участников НИР'!$H54*'счеталка премий'!O44),2)-H52,0),2),0)</f>
        <v>0</v>
      </c>
      <c r="J52" s="310">
        <f t="shared" si="6"/>
        <v>0</v>
      </c>
      <c r="K52" s="306"/>
      <c r="L52" s="310" t="str">
        <f t="shared" si="7"/>
        <v>0,00</v>
      </c>
      <c r="M52" s="310">
        <f>IFERROR(ROUND(IF('Состав ВТК'!P47="",IF(AND('Состав ВТК'!M47&gt;=Выплаты!$L$8,'Состав ВТК'!L47&lt;=Выплаты!$L$8),ROUND(IF('счеталка премий'!I44&lt;0,0,('Расчет участников НИР'!$H54*'счеталка премий'!P44)),2),0),IF(AND('Состав ВТК'!Q47&gt;=Выплаты!$L$8,'Состав ВТК'!P47&lt;=Выплаты!$L$8),ROUND(IF('счеталка премий'!I44&lt;0,0,('Расчет участников НИР'!$H54*'счеталка премий'!P44)),2),0)),2),0)</f>
        <v>0</v>
      </c>
      <c r="N52" s="310">
        <f>IFERROR(ROUND(IF(M52=0,ROUND(('Расчет участников НИР'!$H54*'счеталка премий'!P44),2)-M52,0),2),0)</f>
        <v>0</v>
      </c>
      <c r="O52" s="310">
        <f t="shared" si="13"/>
        <v>0</v>
      </c>
      <c r="P52" s="306"/>
      <c r="Q52" s="310" t="str">
        <f t="shared" si="9"/>
        <v>0,00</v>
      </c>
      <c r="R52" s="310">
        <f>IFERROR(ROUND(IF('Состав ВТК'!P47="",IF(AND('Состав ВТК'!M47&gt;=Выплаты!$Q$8,'Состав ВТК'!L47&lt;=Выплаты!$Q$8),ROUND(IF('счеталка премий'!J44&lt;0,0,('Расчет участников НИР'!$H54*'счеталка премий'!Q44)),2),0),IF(AND('Состав ВТК'!Q47&gt;=Выплаты!$Q$8,'Состав ВТК'!P47&lt;=Выплаты!$Q$8),ROUND(IF('счеталка премий'!J44&lt;0,0,('Расчет участников НИР'!$H54*'счеталка премий'!Q44)),2),0)),2),0)</f>
        <v>0</v>
      </c>
      <c r="S52" s="310">
        <f>IFERROR(ROUND(IF(R52=0,ROUND(('Расчет участников НИР'!$H54*'счеталка премий'!Q44),2)-R52,0),2),0)</f>
        <v>0</v>
      </c>
      <c r="T52" s="310">
        <f t="shared" si="14"/>
        <v>0</v>
      </c>
      <c r="U52" s="306"/>
      <c r="V52" s="310">
        <f t="shared" si="10"/>
        <v>0</v>
      </c>
      <c r="W52" s="310" t="str">
        <f t="shared" si="11"/>
        <v>0,00</v>
      </c>
      <c r="X52" s="310">
        <f>IFERROR(ROUND(IF('Состав ВТК'!P47="",IF('Состав ВТК'!M47&gt;=Выплаты!$V$8,ROUND(IF('счеталка премий'!K44&lt;0,0,'Расчет участников НИР'!$H54*'счеталка премий'!R44),2),0),IF('Состав ВТК'!Q47&gt;=Выплаты!$V$8,ROUND(IF('счеталка премий'!K44&lt;0,0,'Расчет участников НИР'!$H54*'счеталка премий'!R44),2),0)),2),0)</f>
        <v>0</v>
      </c>
      <c r="Y52" s="310">
        <f>IFERROR(ROUND(IF(OR(IF('Состав ВТК'!L47="",AND('Состав ВТК'!Q47&lt;=Выплаты!$V$8,'Состав ВТК'!P47&lt;Выплаты!$V$8),AND('Состав ВТК'!M47&lt;=Выплаты!$V$8,'Состав ВТК'!$K47=справочник!$A$5)),W52=0),0,$Y$12/(Распределение!$N$11-SUMIF($W$14:$W$114,0,Распределение!$N$13:$N$125))*Распределение!N51),2),"0,00")</f>
        <v>0</v>
      </c>
      <c r="Z52" s="310">
        <f>IFERROR(ROUND(IF(X52=0,ROUND(('Расчет участников НИР'!$H54*'счеталка премий'!R44),2)-X52,0),2),0)</f>
        <v>0</v>
      </c>
      <c r="AA52" s="306"/>
      <c r="AB52" s="309">
        <f t="shared" si="12"/>
        <v>0</v>
      </c>
      <c r="AC52" s="309">
        <f t="shared" si="15"/>
        <v>0</v>
      </c>
      <c r="AE52" s="308"/>
    </row>
    <row r="53" spans="1:31" hidden="1" x14ac:dyDescent="0.25">
      <c r="A53" s="247">
        <v>40</v>
      </c>
      <c r="B53" s="602">
        <f>'Состав ВТК'!$B48</f>
        <v>0</v>
      </c>
      <c r="C53" s="310" t="str">
        <f>IFERROR(VLOOKUP($B53,'Состав ВТК'!$B$9:$I$108,7,FALSE),"-")</f>
        <v>-</v>
      </c>
      <c r="D53" s="310" t="str">
        <f>IFERROR(VLOOKUP($B53,'Состав ВТК'!$B$9:$I$108,8,FALSE),"-")</f>
        <v>-</v>
      </c>
      <c r="E53" s="310">
        <f>ROUND(IF($B53='Расчет участников НИР'!$A55,'Расчет участников НИР'!$M55),2)</f>
        <v>0</v>
      </c>
      <c r="F53" s="310">
        <f>ROUND('Расчет участников НИР'!$H55*50%-$E53,2)</f>
        <v>0</v>
      </c>
      <c r="G53" s="310" t="str">
        <f t="shared" si="5"/>
        <v>0,00</v>
      </c>
      <c r="H53" s="310">
        <f>IFERROR(ROUND(IF('Состав ВТК'!P48="",IF(AND('Состав ВТК'!M48&gt;=Выплаты!$G$8,'Состав ВТК'!L48&lt;=Выплаты!$G$8),ROUND(('Расчет участников НИР'!$H55*'счеталка премий'!O45),2),0),IF(AND('Состав ВТК'!Q48&gt;=Выплаты!$G$8,'Состав ВТК'!P48&lt;=Выплаты!$G$8),ROUND(('Расчет участников НИР'!$H55*'счеталка премий'!O45),2),0)),2),0)</f>
        <v>0</v>
      </c>
      <c r="I53" s="310">
        <f>IFERROR(ROUND(IF(H53=0,ROUND(('Расчет участников НИР'!$H55*'счеталка премий'!O45),2)-H53,0),2),0)</f>
        <v>0</v>
      </c>
      <c r="J53" s="310">
        <f t="shared" si="6"/>
        <v>0</v>
      </c>
      <c r="K53" s="306"/>
      <c r="L53" s="310" t="str">
        <f t="shared" si="7"/>
        <v>0,00</v>
      </c>
      <c r="M53" s="310">
        <f>IFERROR(ROUND(IF('Состав ВТК'!P48="",IF(AND('Состав ВТК'!M48&gt;=Выплаты!$L$8,'Состав ВТК'!L48&lt;=Выплаты!$L$8),ROUND(IF('счеталка премий'!I45&lt;0,0,('Расчет участников НИР'!$H55*'счеталка премий'!P45)),2),0),IF(AND('Состав ВТК'!Q48&gt;=Выплаты!$L$8,'Состав ВТК'!P48&lt;=Выплаты!$L$8),ROUND(IF('счеталка премий'!I45&lt;0,0,('Расчет участников НИР'!$H55*'счеталка премий'!P45)),2),0)),2),0)</f>
        <v>0</v>
      </c>
      <c r="N53" s="310">
        <f>IFERROR(ROUND(IF(M53=0,ROUND(('Расчет участников НИР'!$H55*'счеталка премий'!P45),2)-M53,0),2),0)</f>
        <v>0</v>
      </c>
      <c r="O53" s="310">
        <f t="shared" si="13"/>
        <v>0</v>
      </c>
      <c r="P53" s="306"/>
      <c r="Q53" s="310" t="str">
        <f t="shared" si="9"/>
        <v>0,00</v>
      </c>
      <c r="R53" s="310">
        <f>IFERROR(ROUND(IF('Состав ВТК'!P48="",IF(AND('Состав ВТК'!M48&gt;=Выплаты!$Q$8,'Состав ВТК'!L48&lt;=Выплаты!$Q$8),ROUND(IF('счеталка премий'!J45&lt;0,0,('Расчет участников НИР'!$H55*'счеталка премий'!Q45)),2),0),IF(AND('Состав ВТК'!Q48&gt;=Выплаты!$Q$8,'Состав ВТК'!P48&lt;=Выплаты!$Q$8),ROUND(IF('счеталка премий'!J45&lt;0,0,('Расчет участников НИР'!$H55*'счеталка премий'!Q45)),2),0)),2),0)</f>
        <v>0</v>
      </c>
      <c r="S53" s="310">
        <f>IFERROR(ROUND(IF(R53=0,ROUND(('Расчет участников НИР'!$H55*'счеталка премий'!Q45),2)-R53,0),2),0)</f>
        <v>0</v>
      </c>
      <c r="T53" s="310">
        <f t="shared" si="14"/>
        <v>0</v>
      </c>
      <c r="U53" s="306"/>
      <c r="V53" s="310">
        <f t="shared" si="10"/>
        <v>0</v>
      </c>
      <c r="W53" s="310" t="str">
        <f t="shared" si="11"/>
        <v>0,00</v>
      </c>
      <c r="X53" s="310">
        <f>IFERROR(ROUND(IF('Состав ВТК'!P48="",IF('Состав ВТК'!M48&gt;=Выплаты!$V$8,ROUND(IF('счеталка премий'!K45&lt;0,0,'Расчет участников НИР'!$H55*'счеталка премий'!R45),2),0),IF('Состав ВТК'!Q48&gt;=Выплаты!$V$8,ROUND(IF('счеталка премий'!K45&lt;0,0,'Расчет участников НИР'!$H55*'счеталка премий'!R45),2),0)),2),0)</f>
        <v>0</v>
      </c>
      <c r="Y53" s="310">
        <f>IFERROR(ROUND(IF(OR(IF('Состав ВТК'!L48="",AND('Состав ВТК'!Q48&lt;=Выплаты!$V$8,'Состав ВТК'!P48&lt;Выплаты!$V$8),AND('Состав ВТК'!M48&lt;=Выплаты!$V$8,'Состав ВТК'!$K48=справочник!$A$5)),W53=0),0,$Y$12/(Распределение!$N$11-SUMIF($W$14:$W$114,0,Распределение!$N$13:$N$125))*Распределение!N52),2),"0,00")</f>
        <v>0</v>
      </c>
      <c r="Z53" s="310">
        <f>IFERROR(ROUND(IF(X53=0,ROUND(('Расчет участников НИР'!$H55*'счеталка премий'!R45),2)-X53,0),2),0)</f>
        <v>0</v>
      </c>
      <c r="AA53" s="306"/>
      <c r="AB53" s="309">
        <f t="shared" si="12"/>
        <v>0</v>
      </c>
      <c r="AC53" s="309">
        <f t="shared" si="15"/>
        <v>0</v>
      </c>
      <c r="AE53" s="308"/>
    </row>
    <row r="54" spans="1:31" hidden="1" x14ac:dyDescent="0.25">
      <c r="A54" s="247">
        <v>41</v>
      </c>
      <c r="B54" s="602">
        <f>'Состав ВТК'!$B49</f>
        <v>0</v>
      </c>
      <c r="C54" s="310" t="str">
        <f>IFERROR(VLOOKUP($B54,'Состав ВТК'!$B$9:$I$108,7,FALSE),"-")</f>
        <v>-</v>
      </c>
      <c r="D54" s="310" t="str">
        <f>IFERROR(VLOOKUP($B54,'Состав ВТК'!$B$9:$I$108,8,FALSE),"-")</f>
        <v>-</v>
      </c>
      <c r="E54" s="310">
        <f>ROUND(IF($B54='Расчет участников НИР'!$A56,'Расчет участников НИР'!$M56),2)</f>
        <v>0</v>
      </c>
      <c r="F54" s="310">
        <f>ROUND('Расчет участников НИР'!$H56*50%-$E54,2)</f>
        <v>0</v>
      </c>
      <c r="G54" s="310" t="str">
        <f t="shared" si="5"/>
        <v>0,00</v>
      </c>
      <c r="H54" s="310">
        <f>IFERROR(ROUND(IF('Состав ВТК'!P49="",IF(AND('Состав ВТК'!M49&gt;=Выплаты!$G$8,'Состав ВТК'!L49&lt;=Выплаты!$G$8),ROUND(('Расчет участников НИР'!$H56*'счеталка премий'!O46),2),0),IF(AND('Состав ВТК'!Q49&gt;=Выплаты!$G$8,'Состав ВТК'!P49&lt;=Выплаты!$G$8),ROUND(('Расчет участников НИР'!$H56*'счеталка премий'!O46),2),0)),2),0)</f>
        <v>0</v>
      </c>
      <c r="I54" s="310">
        <f>IFERROR(ROUND(IF(H54=0,ROUND(('Расчет участников НИР'!$H56*'счеталка премий'!O46),2)-H54,0),2),0)</f>
        <v>0</v>
      </c>
      <c r="J54" s="310">
        <f t="shared" si="6"/>
        <v>0</v>
      </c>
      <c r="K54" s="306"/>
      <c r="L54" s="310" t="str">
        <f t="shared" si="7"/>
        <v>0,00</v>
      </c>
      <c r="M54" s="310">
        <f>IFERROR(ROUND(IF('Состав ВТК'!P49="",IF(AND('Состав ВТК'!M49&gt;=Выплаты!$L$8,'Состав ВТК'!L49&lt;=Выплаты!$L$8),ROUND(IF('счеталка премий'!I46&lt;0,0,('Расчет участников НИР'!$H56*'счеталка премий'!P46)),2),0),IF(AND('Состав ВТК'!Q49&gt;=Выплаты!$L$8,'Состав ВТК'!P49&lt;=Выплаты!$L$8),ROUND(IF('счеталка премий'!I46&lt;0,0,('Расчет участников НИР'!$H56*'счеталка премий'!P46)),2),0)),2),0)</f>
        <v>0</v>
      </c>
      <c r="N54" s="310">
        <f>IFERROR(ROUND(IF(M54=0,ROUND(('Расчет участников НИР'!$H56*'счеталка премий'!P46),2)-M54,0),2),0)</f>
        <v>0</v>
      </c>
      <c r="O54" s="310">
        <f t="shared" si="13"/>
        <v>0</v>
      </c>
      <c r="P54" s="306"/>
      <c r="Q54" s="310" t="str">
        <f t="shared" si="9"/>
        <v>0,00</v>
      </c>
      <c r="R54" s="310">
        <f>IFERROR(ROUND(IF('Состав ВТК'!P49="",IF(AND('Состав ВТК'!M49&gt;=Выплаты!$Q$8,'Состав ВТК'!L49&lt;=Выплаты!$Q$8),ROUND(IF('счеталка премий'!J46&lt;0,0,('Расчет участников НИР'!$H56*'счеталка премий'!Q46)),2),0),IF(AND('Состав ВТК'!Q49&gt;=Выплаты!$Q$8,'Состав ВТК'!P49&lt;=Выплаты!$Q$8),ROUND(IF('счеталка премий'!J46&lt;0,0,('Расчет участников НИР'!$H56*'счеталка премий'!Q46)),2),0)),2),0)</f>
        <v>0</v>
      </c>
      <c r="S54" s="310">
        <f>IFERROR(ROUND(IF(R54=0,ROUND(('Расчет участников НИР'!$H56*'счеталка премий'!Q46),2)-R54,0),2),0)</f>
        <v>0</v>
      </c>
      <c r="T54" s="310">
        <f t="shared" si="14"/>
        <v>0</v>
      </c>
      <c r="U54" s="306"/>
      <c r="V54" s="310">
        <f t="shared" si="10"/>
        <v>0</v>
      </c>
      <c r="W54" s="310" t="str">
        <f t="shared" si="11"/>
        <v>0,00</v>
      </c>
      <c r="X54" s="310">
        <f>IFERROR(ROUND(IF('Состав ВТК'!P49="",IF('Состав ВТК'!M49&gt;=Выплаты!$V$8,ROUND(IF('счеталка премий'!K46&lt;0,0,'Расчет участников НИР'!$H56*'счеталка премий'!R46),2),0),IF('Состав ВТК'!Q49&gt;=Выплаты!$V$8,ROUND(IF('счеталка премий'!K46&lt;0,0,'Расчет участников НИР'!$H56*'счеталка премий'!R46),2),0)),2),0)</f>
        <v>0</v>
      </c>
      <c r="Y54" s="310">
        <f>IFERROR(ROUND(IF(OR(IF('Состав ВТК'!L49="",AND('Состав ВТК'!Q49&lt;=Выплаты!$V$8,'Состав ВТК'!P49&lt;Выплаты!$V$8),AND('Состав ВТК'!M49&lt;=Выплаты!$V$8,'Состав ВТК'!$K49=справочник!$A$5)),W54=0),0,$Y$12/(Распределение!$N$11-SUMIF($W$14:$W$114,0,Распределение!$N$13:$N$125))*Распределение!N53),2),"0,00")</f>
        <v>0</v>
      </c>
      <c r="Z54" s="310">
        <f>IFERROR(ROUND(IF(X54=0,ROUND(('Расчет участников НИР'!$H56*'счеталка премий'!R46),2)-X54,0),2),0)</f>
        <v>0</v>
      </c>
      <c r="AA54" s="306"/>
      <c r="AB54" s="309">
        <f t="shared" si="12"/>
        <v>0</v>
      </c>
      <c r="AC54" s="309">
        <f t="shared" si="15"/>
        <v>0</v>
      </c>
      <c r="AE54" s="308"/>
    </row>
    <row r="55" spans="1:31" hidden="1" x14ac:dyDescent="0.25">
      <c r="A55" s="247">
        <v>42</v>
      </c>
      <c r="B55" s="602">
        <f>'Состав ВТК'!$B50</f>
        <v>0</v>
      </c>
      <c r="C55" s="310" t="str">
        <f>IFERROR(VLOOKUP($B55,'Состав ВТК'!$B$9:$I$108,7,FALSE),"-")</f>
        <v>-</v>
      </c>
      <c r="D55" s="310" t="str">
        <f>IFERROR(VLOOKUP($B55,'Состав ВТК'!$B$9:$I$108,8,FALSE),"-")</f>
        <v>-</v>
      </c>
      <c r="E55" s="310">
        <f>ROUND(IF($B55='Расчет участников НИР'!$A57,'Расчет участников НИР'!$M57),2)</f>
        <v>0</v>
      </c>
      <c r="F55" s="310">
        <f>ROUND('Расчет участников НИР'!$H57*50%-$E55,2)</f>
        <v>0</v>
      </c>
      <c r="G55" s="310" t="str">
        <f t="shared" si="5"/>
        <v>0,00</v>
      </c>
      <c r="H55" s="310">
        <f>IFERROR(ROUND(IF('Состав ВТК'!P50="",IF(AND('Состав ВТК'!M50&gt;=Выплаты!$G$8,'Состав ВТК'!L50&lt;=Выплаты!$G$8),ROUND(('Расчет участников НИР'!$H57*'счеталка премий'!O47),2),0),IF(AND('Состав ВТК'!Q50&gt;=Выплаты!$G$8,'Состав ВТК'!P50&lt;=Выплаты!$G$8),ROUND(('Расчет участников НИР'!$H57*'счеталка премий'!O47),2),0)),2),0)</f>
        <v>0</v>
      </c>
      <c r="I55" s="310">
        <f>IFERROR(ROUND(IF(H55=0,ROUND(('Расчет участников НИР'!$H57*'счеталка премий'!O47),2)-H55,0),2),0)</f>
        <v>0</v>
      </c>
      <c r="J55" s="310">
        <f t="shared" si="6"/>
        <v>0</v>
      </c>
      <c r="K55" s="306"/>
      <c r="L55" s="310" t="str">
        <f t="shared" si="7"/>
        <v>0,00</v>
      </c>
      <c r="M55" s="310">
        <f>IFERROR(ROUND(IF('Состав ВТК'!P50="",IF(AND('Состав ВТК'!M50&gt;=Выплаты!$L$8,'Состав ВТК'!L50&lt;=Выплаты!$L$8),ROUND(IF('счеталка премий'!I47&lt;0,0,('Расчет участников НИР'!$H57*'счеталка премий'!P47)),2),0),IF(AND('Состав ВТК'!Q50&gt;=Выплаты!$L$8,'Состав ВТК'!P50&lt;=Выплаты!$L$8),ROUND(IF('счеталка премий'!I47&lt;0,0,('Расчет участников НИР'!$H57*'счеталка премий'!P47)),2),0)),2),0)</f>
        <v>0</v>
      </c>
      <c r="N55" s="310">
        <f>IFERROR(ROUND(IF(M55=0,ROUND(('Расчет участников НИР'!$H57*'счеталка премий'!P47),2)-M55,0),2),0)</f>
        <v>0</v>
      </c>
      <c r="O55" s="310">
        <f t="shared" si="13"/>
        <v>0</v>
      </c>
      <c r="P55" s="306"/>
      <c r="Q55" s="310" t="str">
        <f t="shared" si="9"/>
        <v>0,00</v>
      </c>
      <c r="R55" s="310">
        <f>IFERROR(ROUND(IF('Состав ВТК'!P50="",IF(AND('Состав ВТК'!M50&gt;=Выплаты!$Q$8,'Состав ВТК'!L50&lt;=Выплаты!$Q$8),ROUND(IF('счеталка премий'!J47&lt;0,0,('Расчет участников НИР'!$H57*'счеталка премий'!Q47)),2),0),IF(AND('Состав ВТК'!Q50&gt;=Выплаты!$Q$8,'Состав ВТК'!P50&lt;=Выплаты!$Q$8),ROUND(IF('счеталка премий'!J47&lt;0,0,('Расчет участников НИР'!$H57*'счеталка премий'!Q47)),2),0)),2),0)</f>
        <v>0</v>
      </c>
      <c r="S55" s="310">
        <f>IFERROR(ROUND(IF(R55=0,ROUND(('Расчет участников НИР'!$H57*'счеталка премий'!Q47),2)-R55,0),2),0)</f>
        <v>0</v>
      </c>
      <c r="T55" s="310">
        <f t="shared" si="14"/>
        <v>0</v>
      </c>
      <c r="U55" s="306"/>
      <c r="V55" s="310">
        <f t="shared" si="10"/>
        <v>0</v>
      </c>
      <c r="W55" s="310" t="str">
        <f t="shared" si="11"/>
        <v>0,00</v>
      </c>
      <c r="X55" s="310">
        <f>IFERROR(ROUND(IF('Состав ВТК'!P50="",IF('Состав ВТК'!M50&gt;=Выплаты!$V$8,ROUND(IF('счеталка премий'!K47&lt;0,0,'Расчет участников НИР'!$H57*'счеталка премий'!R47),2),0),IF('Состав ВТК'!Q50&gt;=Выплаты!$V$8,ROUND(IF('счеталка премий'!K47&lt;0,0,'Расчет участников НИР'!$H57*'счеталка премий'!R47),2),0)),2),0)</f>
        <v>0</v>
      </c>
      <c r="Y55" s="310">
        <f>IFERROR(ROUND(IF(OR(IF('Состав ВТК'!L50="",AND('Состав ВТК'!Q50&lt;=Выплаты!$V$8,'Состав ВТК'!P50&lt;Выплаты!$V$8),AND('Состав ВТК'!M50&lt;=Выплаты!$V$8,'Состав ВТК'!$K50=справочник!$A$5)),W55=0),0,$Y$12/(Распределение!$N$11-SUMIF($W$14:$W$114,0,Распределение!$N$13:$N$125))*Распределение!N54),2),"0,00")</f>
        <v>0</v>
      </c>
      <c r="Z55" s="310">
        <f>IFERROR(ROUND(IF(X55=0,ROUND(('Расчет участников НИР'!$H57*'счеталка премий'!R47),2)-X55,0),2),0)</f>
        <v>0</v>
      </c>
      <c r="AA55" s="306"/>
      <c r="AB55" s="309">
        <f t="shared" si="12"/>
        <v>0</v>
      </c>
      <c r="AC55" s="309">
        <f t="shared" si="15"/>
        <v>0</v>
      </c>
      <c r="AE55" s="308"/>
    </row>
    <row r="56" spans="1:31" hidden="1" x14ac:dyDescent="0.25">
      <c r="A56" s="247">
        <v>43</v>
      </c>
      <c r="B56" s="602">
        <f>'Состав ВТК'!$B51</f>
        <v>0</v>
      </c>
      <c r="C56" s="310" t="str">
        <f>IFERROR(VLOOKUP($B56,'Состав ВТК'!$B$9:$I$108,7,FALSE),"-")</f>
        <v>-</v>
      </c>
      <c r="D56" s="310" t="str">
        <f>IFERROR(VLOOKUP($B56,'Состав ВТК'!$B$9:$I$108,8,FALSE),"-")</f>
        <v>-</v>
      </c>
      <c r="E56" s="310">
        <f>ROUND(IF($B56='Расчет участников НИР'!$A58,'Расчет участников НИР'!$M58),2)</f>
        <v>0</v>
      </c>
      <c r="F56" s="310">
        <f>ROUND('Расчет участников НИР'!$H58*50%-$E56,2)</f>
        <v>0</v>
      </c>
      <c r="G56" s="310" t="str">
        <f t="shared" si="5"/>
        <v>0,00</v>
      </c>
      <c r="H56" s="310">
        <f>IFERROR(ROUND(IF('Состав ВТК'!P51="",IF(AND('Состав ВТК'!M51&gt;=Выплаты!$G$8,'Состав ВТК'!L51&lt;=Выплаты!$G$8),ROUND(('Расчет участников НИР'!$H58*'счеталка премий'!O48),2),0),IF(AND('Состав ВТК'!Q51&gt;=Выплаты!$G$8,'Состав ВТК'!P51&lt;=Выплаты!$G$8),ROUND(('Расчет участников НИР'!$H58*'счеталка премий'!O48),2),0)),2),0)</f>
        <v>0</v>
      </c>
      <c r="I56" s="310">
        <f>IFERROR(ROUND(IF(H56=0,ROUND(('Расчет участников НИР'!$H58*'счеталка премий'!O48),2)-H56,0),2),0)</f>
        <v>0</v>
      </c>
      <c r="J56" s="310">
        <f t="shared" si="6"/>
        <v>0</v>
      </c>
      <c r="K56" s="306"/>
      <c r="L56" s="310" t="str">
        <f t="shared" si="7"/>
        <v>0,00</v>
      </c>
      <c r="M56" s="310">
        <f>IFERROR(ROUND(IF('Состав ВТК'!P51="",IF(AND('Состав ВТК'!M51&gt;=Выплаты!$L$8,'Состав ВТК'!L51&lt;=Выплаты!$L$8),ROUND(IF('счеталка премий'!I48&lt;0,0,('Расчет участников НИР'!$H58*'счеталка премий'!P48)),2),0),IF(AND('Состав ВТК'!Q51&gt;=Выплаты!$L$8,'Состав ВТК'!P51&lt;=Выплаты!$L$8),ROUND(IF('счеталка премий'!I48&lt;0,0,('Расчет участников НИР'!$H58*'счеталка премий'!P48)),2),0)),2),0)</f>
        <v>0</v>
      </c>
      <c r="N56" s="310">
        <f>IFERROR(ROUND(IF(M56=0,ROUND(('Расчет участников НИР'!$H58*'счеталка премий'!P48),2)-M56,0),2),0)</f>
        <v>0</v>
      </c>
      <c r="O56" s="310">
        <f t="shared" si="13"/>
        <v>0</v>
      </c>
      <c r="P56" s="306"/>
      <c r="Q56" s="310" t="str">
        <f t="shared" si="9"/>
        <v>0,00</v>
      </c>
      <c r="R56" s="310">
        <f>IFERROR(ROUND(IF('Состав ВТК'!P51="",IF(AND('Состав ВТК'!M51&gt;=Выплаты!$Q$8,'Состав ВТК'!L51&lt;=Выплаты!$Q$8),ROUND(IF('счеталка премий'!J48&lt;0,0,('Расчет участников НИР'!$H58*'счеталка премий'!Q48)),2),0),IF(AND('Состав ВТК'!Q51&gt;=Выплаты!$Q$8,'Состав ВТК'!P51&lt;=Выплаты!$Q$8),ROUND(IF('счеталка премий'!J48&lt;0,0,('Расчет участников НИР'!$H58*'счеталка премий'!Q48)),2),0)),2),0)</f>
        <v>0</v>
      </c>
      <c r="S56" s="310">
        <f>IFERROR(ROUND(IF(R56=0,ROUND(('Расчет участников НИР'!$H58*'счеталка премий'!Q48),2)-R56,0),2),0)</f>
        <v>0</v>
      </c>
      <c r="T56" s="310">
        <f t="shared" si="14"/>
        <v>0</v>
      </c>
      <c r="U56" s="306"/>
      <c r="V56" s="310">
        <f t="shared" si="10"/>
        <v>0</v>
      </c>
      <c r="W56" s="310" t="str">
        <f t="shared" si="11"/>
        <v>0,00</v>
      </c>
      <c r="X56" s="310">
        <f>IFERROR(ROUND(IF('Состав ВТК'!P51="",IF('Состав ВТК'!M51&gt;=Выплаты!$V$8,ROUND(IF('счеталка премий'!K48&lt;0,0,'Расчет участников НИР'!$H58*'счеталка премий'!R48),2),0),IF('Состав ВТК'!Q51&gt;=Выплаты!$V$8,ROUND(IF('счеталка премий'!K48&lt;0,0,'Расчет участников НИР'!$H58*'счеталка премий'!R48),2),0)),2),0)</f>
        <v>0</v>
      </c>
      <c r="Y56" s="310">
        <f>IFERROR(ROUND(IF(OR(IF('Состав ВТК'!L51="",AND('Состав ВТК'!Q51&lt;=Выплаты!$V$8,'Состав ВТК'!P51&lt;Выплаты!$V$8),AND('Состав ВТК'!M51&lt;=Выплаты!$V$8,'Состав ВТК'!$K51=справочник!$A$5)),W56=0),0,$Y$12/(Распределение!$N$11-SUMIF($W$14:$W$114,0,Распределение!$N$13:$N$125))*Распределение!N55),2),"0,00")</f>
        <v>0</v>
      </c>
      <c r="Z56" s="310">
        <f>IFERROR(ROUND(IF(X56=0,ROUND(('Расчет участников НИР'!$H58*'счеталка премий'!R48),2)-X56,0),2),0)</f>
        <v>0</v>
      </c>
      <c r="AA56" s="306"/>
      <c r="AB56" s="309">
        <f t="shared" si="12"/>
        <v>0</v>
      </c>
      <c r="AC56" s="309">
        <f t="shared" si="15"/>
        <v>0</v>
      </c>
      <c r="AE56" s="308"/>
    </row>
    <row r="57" spans="1:31" hidden="1" x14ac:dyDescent="0.25">
      <c r="A57" s="247">
        <v>44</v>
      </c>
      <c r="B57" s="602">
        <f>'Состав ВТК'!$B52</f>
        <v>0</v>
      </c>
      <c r="C57" s="310" t="str">
        <f>IFERROR(VLOOKUP($B57,'Состав ВТК'!$B$9:$I$108,7,FALSE),"-")</f>
        <v>-</v>
      </c>
      <c r="D57" s="310" t="str">
        <f>IFERROR(VLOOKUP($B57,'Состав ВТК'!$B$9:$I$108,8,FALSE),"-")</f>
        <v>-</v>
      </c>
      <c r="E57" s="310">
        <f>ROUND(IF($B57='Расчет участников НИР'!$A59,'Расчет участников НИР'!$M59),2)</f>
        <v>0</v>
      </c>
      <c r="F57" s="310">
        <f>ROUND('Расчет участников НИР'!$H59*50%-$E57,2)</f>
        <v>0</v>
      </c>
      <c r="G57" s="310" t="str">
        <f t="shared" si="5"/>
        <v>0,00</v>
      </c>
      <c r="H57" s="310">
        <f>IFERROR(ROUND(IF('Состав ВТК'!P52="",IF(AND('Состав ВТК'!M52&gt;=Выплаты!$G$8,'Состав ВТК'!L52&lt;=Выплаты!$G$8),ROUND(('Расчет участников НИР'!$H59*'счеталка премий'!O49),2),0),IF(AND('Состав ВТК'!Q52&gt;=Выплаты!$G$8,'Состав ВТК'!P52&lt;=Выплаты!$G$8),ROUND(('Расчет участников НИР'!$H59*'счеталка премий'!O49),2),0)),2),0)</f>
        <v>0</v>
      </c>
      <c r="I57" s="310">
        <f>IFERROR(ROUND(IF(H57=0,ROUND(('Расчет участников НИР'!$H59*'счеталка премий'!O49),2)-H57,0),2),0)</f>
        <v>0</v>
      </c>
      <c r="J57" s="310">
        <f t="shared" si="6"/>
        <v>0</v>
      </c>
      <c r="K57" s="306"/>
      <c r="L57" s="310" t="str">
        <f t="shared" si="7"/>
        <v>0,00</v>
      </c>
      <c r="M57" s="310">
        <f>IFERROR(ROUND(IF('Состав ВТК'!P52="",IF(AND('Состав ВТК'!M52&gt;=Выплаты!$L$8,'Состав ВТК'!L52&lt;=Выплаты!$L$8),ROUND(IF('счеталка премий'!I49&lt;0,0,('Расчет участников НИР'!$H59*'счеталка премий'!P49)),2),0),IF(AND('Состав ВТК'!Q52&gt;=Выплаты!$L$8,'Состав ВТК'!P52&lt;=Выплаты!$L$8),ROUND(IF('счеталка премий'!I49&lt;0,0,('Расчет участников НИР'!$H59*'счеталка премий'!P49)),2),0)),2),0)</f>
        <v>0</v>
      </c>
      <c r="N57" s="310">
        <f>IFERROR(ROUND(IF(M57=0,ROUND(('Расчет участников НИР'!$H59*'счеталка премий'!P49),2)-M57,0),2),0)</f>
        <v>0</v>
      </c>
      <c r="O57" s="310">
        <f t="shared" si="13"/>
        <v>0</v>
      </c>
      <c r="P57" s="306"/>
      <c r="Q57" s="310" t="str">
        <f t="shared" si="9"/>
        <v>0,00</v>
      </c>
      <c r="R57" s="310">
        <f>IFERROR(ROUND(IF('Состав ВТК'!P52="",IF(AND('Состав ВТК'!M52&gt;=Выплаты!$Q$8,'Состав ВТК'!L52&lt;=Выплаты!$Q$8),ROUND(IF('счеталка премий'!J49&lt;0,0,('Расчет участников НИР'!$H59*'счеталка премий'!Q49)),2),0),IF(AND('Состав ВТК'!Q52&gt;=Выплаты!$Q$8,'Состав ВТК'!P52&lt;=Выплаты!$Q$8),ROUND(IF('счеталка премий'!J49&lt;0,0,('Расчет участников НИР'!$H59*'счеталка премий'!Q49)),2),0)),2),0)</f>
        <v>0</v>
      </c>
      <c r="S57" s="310">
        <f>IFERROR(ROUND(IF(R57=0,ROUND(('Расчет участников НИР'!$H59*'счеталка премий'!Q49),2)-R57,0),2),0)</f>
        <v>0</v>
      </c>
      <c r="T57" s="310">
        <f t="shared" si="14"/>
        <v>0</v>
      </c>
      <c r="U57" s="306"/>
      <c r="V57" s="310">
        <f t="shared" si="10"/>
        <v>0</v>
      </c>
      <c r="W57" s="310" t="str">
        <f t="shared" si="11"/>
        <v>0,00</v>
      </c>
      <c r="X57" s="310">
        <f>IFERROR(ROUND(IF('Состав ВТК'!P52="",IF('Состав ВТК'!M52&gt;=Выплаты!$V$8,ROUND(IF('счеталка премий'!K49&lt;0,0,'Расчет участников НИР'!$H59*'счеталка премий'!R49),2),0),IF('Состав ВТК'!Q52&gt;=Выплаты!$V$8,ROUND(IF('счеталка премий'!K49&lt;0,0,'Расчет участников НИР'!$H59*'счеталка премий'!R49),2),0)),2),0)</f>
        <v>0</v>
      </c>
      <c r="Y57" s="310">
        <f>IFERROR(ROUND(IF(OR(IF('Состав ВТК'!L52="",AND('Состав ВТК'!Q52&lt;=Выплаты!$V$8,'Состав ВТК'!P52&lt;Выплаты!$V$8),AND('Состав ВТК'!M52&lt;=Выплаты!$V$8,'Состав ВТК'!$K52=справочник!$A$5)),W57=0),0,$Y$12/(Распределение!$N$11-SUMIF($W$14:$W$114,0,Распределение!$N$13:$N$125))*Распределение!N56),2),"0,00")</f>
        <v>0</v>
      </c>
      <c r="Z57" s="310">
        <f>IFERROR(ROUND(IF(X57=0,ROUND(('Расчет участников НИР'!$H59*'счеталка премий'!R49),2)-X57,0),2),0)</f>
        <v>0</v>
      </c>
      <c r="AA57" s="306"/>
      <c r="AB57" s="309">
        <f t="shared" si="12"/>
        <v>0</v>
      </c>
      <c r="AC57" s="309">
        <f t="shared" si="15"/>
        <v>0</v>
      </c>
      <c r="AE57" s="308"/>
    </row>
    <row r="58" spans="1:31" hidden="1" x14ac:dyDescent="0.25">
      <c r="A58" s="247">
        <v>45</v>
      </c>
      <c r="B58" s="602">
        <f>'Состав ВТК'!$B53</f>
        <v>0</v>
      </c>
      <c r="C58" s="310" t="str">
        <f>IFERROR(VLOOKUP($B58,'Состав ВТК'!$B$9:$I$108,7,FALSE),"-")</f>
        <v>-</v>
      </c>
      <c r="D58" s="310" t="str">
        <f>IFERROR(VLOOKUP($B58,'Состав ВТК'!$B$9:$I$108,8,FALSE),"-")</f>
        <v>-</v>
      </c>
      <c r="E58" s="310">
        <f>ROUND(IF($B58='Расчет участников НИР'!$A60,'Расчет участников НИР'!$M60),2)</f>
        <v>0</v>
      </c>
      <c r="F58" s="310">
        <f>ROUND('Расчет участников НИР'!$H60*50%-$E58,2)</f>
        <v>0</v>
      </c>
      <c r="G58" s="310" t="str">
        <f t="shared" si="5"/>
        <v>0,00</v>
      </c>
      <c r="H58" s="310">
        <f>IFERROR(ROUND(IF('Состав ВТК'!P53="",IF(AND('Состав ВТК'!M53&gt;=Выплаты!$G$8,'Состав ВТК'!L53&lt;=Выплаты!$G$8),ROUND(('Расчет участников НИР'!$H60*'счеталка премий'!O50),2),0),IF(AND('Состав ВТК'!Q53&gt;=Выплаты!$G$8,'Состав ВТК'!P53&lt;=Выплаты!$G$8),ROUND(('Расчет участников НИР'!$H60*'счеталка премий'!O50),2),0)),2),0)</f>
        <v>0</v>
      </c>
      <c r="I58" s="310">
        <f>IFERROR(ROUND(IF(H58=0,ROUND(('Расчет участников НИР'!$H60*'счеталка премий'!O50),2)-H58,0),2),0)</f>
        <v>0</v>
      </c>
      <c r="J58" s="310">
        <f t="shared" si="6"/>
        <v>0</v>
      </c>
      <c r="K58" s="306"/>
      <c r="L58" s="310" t="str">
        <f t="shared" si="7"/>
        <v>0,00</v>
      </c>
      <c r="M58" s="310">
        <f>IFERROR(ROUND(IF('Состав ВТК'!P53="",IF(AND('Состав ВТК'!M53&gt;=Выплаты!$L$8,'Состав ВТК'!L53&lt;=Выплаты!$L$8),ROUND(IF('счеталка премий'!I50&lt;0,0,('Расчет участников НИР'!$H60*'счеталка премий'!P50)),2),0),IF(AND('Состав ВТК'!Q53&gt;=Выплаты!$L$8,'Состав ВТК'!P53&lt;=Выплаты!$L$8),ROUND(IF('счеталка премий'!I50&lt;0,0,('Расчет участников НИР'!$H60*'счеталка премий'!P50)),2),0)),2),0)</f>
        <v>0</v>
      </c>
      <c r="N58" s="310">
        <f>IFERROR(ROUND(IF(M58=0,ROUND(('Расчет участников НИР'!$H60*'счеталка премий'!P50),2)-M58,0),2),0)</f>
        <v>0</v>
      </c>
      <c r="O58" s="310">
        <f t="shared" si="13"/>
        <v>0</v>
      </c>
      <c r="P58" s="306"/>
      <c r="Q58" s="310" t="str">
        <f t="shared" si="9"/>
        <v>0,00</v>
      </c>
      <c r="R58" s="310">
        <f>IFERROR(ROUND(IF('Состав ВТК'!P53="",IF(AND('Состав ВТК'!M53&gt;=Выплаты!$Q$8,'Состав ВТК'!L53&lt;=Выплаты!$Q$8),ROUND(IF('счеталка премий'!J50&lt;0,0,('Расчет участников НИР'!$H60*'счеталка премий'!Q50)),2),0),IF(AND('Состав ВТК'!Q53&gt;=Выплаты!$Q$8,'Состав ВТК'!P53&lt;=Выплаты!$Q$8),ROUND(IF('счеталка премий'!J50&lt;0,0,('Расчет участников НИР'!$H60*'счеталка премий'!Q50)),2),0)),2),0)</f>
        <v>0</v>
      </c>
      <c r="S58" s="310">
        <f>IFERROR(ROUND(IF(R58=0,ROUND(('Расчет участников НИР'!$H60*'счеталка премий'!Q50),2)-R58,0),2),0)</f>
        <v>0</v>
      </c>
      <c r="T58" s="310">
        <f t="shared" si="14"/>
        <v>0</v>
      </c>
      <c r="U58" s="306"/>
      <c r="V58" s="310">
        <f t="shared" si="10"/>
        <v>0</v>
      </c>
      <c r="W58" s="310" t="str">
        <f t="shared" si="11"/>
        <v>0,00</v>
      </c>
      <c r="X58" s="310">
        <f>IFERROR(ROUND(IF('Состав ВТК'!P53="",IF('Состав ВТК'!M53&gt;=Выплаты!$V$8,ROUND(IF('счеталка премий'!K50&lt;0,0,'Расчет участников НИР'!$H60*'счеталка премий'!R50),2),0),IF('Состав ВТК'!Q53&gt;=Выплаты!$V$8,ROUND(IF('счеталка премий'!K50&lt;0,0,'Расчет участников НИР'!$H60*'счеталка премий'!R50),2),0)),2),0)</f>
        <v>0</v>
      </c>
      <c r="Y58" s="310">
        <f>IFERROR(ROUND(IF(OR(IF('Состав ВТК'!L53="",AND('Состав ВТК'!Q53&lt;=Выплаты!$V$8,'Состав ВТК'!P53&lt;Выплаты!$V$8),AND('Состав ВТК'!M53&lt;=Выплаты!$V$8,'Состав ВТК'!$K53=справочник!$A$5)),W58=0),0,$Y$12/(Распределение!$N$11-SUMIF($W$14:$W$114,0,Распределение!$N$13:$N$125))*Распределение!N57),2),"0,00")</f>
        <v>0</v>
      </c>
      <c r="Z58" s="310">
        <f>IFERROR(ROUND(IF(X58=0,ROUND(('Расчет участников НИР'!$H60*'счеталка премий'!R50),2)-X58,0),2),0)</f>
        <v>0</v>
      </c>
      <c r="AA58" s="306"/>
      <c r="AB58" s="309">
        <f t="shared" si="12"/>
        <v>0</v>
      </c>
      <c r="AC58" s="309">
        <f t="shared" si="15"/>
        <v>0</v>
      </c>
      <c r="AE58" s="308"/>
    </row>
    <row r="59" spans="1:31" hidden="1" x14ac:dyDescent="0.25">
      <c r="A59" s="247">
        <v>46</v>
      </c>
      <c r="B59" s="602">
        <f>'Состав ВТК'!$B54</f>
        <v>0</v>
      </c>
      <c r="C59" s="310" t="str">
        <f>IFERROR(VLOOKUP($B59,'Состав ВТК'!$B$9:$I$108,7,FALSE),"-")</f>
        <v>-</v>
      </c>
      <c r="D59" s="310" t="str">
        <f>IFERROR(VLOOKUP($B59,'Состав ВТК'!$B$9:$I$108,8,FALSE),"-")</f>
        <v>-</v>
      </c>
      <c r="E59" s="310">
        <f>ROUND(IF($B59='Расчет участников НИР'!$A61,'Расчет участников НИР'!$M61),2)</f>
        <v>0</v>
      </c>
      <c r="F59" s="310">
        <f>ROUND('Расчет участников НИР'!$H61*50%-$E59,2)</f>
        <v>0</v>
      </c>
      <c r="G59" s="310" t="str">
        <f t="shared" si="5"/>
        <v>0,00</v>
      </c>
      <c r="H59" s="310">
        <f>IFERROR(ROUND(IF('Состав ВТК'!P54="",IF(AND('Состав ВТК'!M54&gt;=Выплаты!$G$8,'Состав ВТК'!L54&lt;=Выплаты!$G$8),ROUND(('Расчет участников НИР'!$H61*'счеталка премий'!O51),2),0),IF(AND('Состав ВТК'!Q54&gt;=Выплаты!$G$8,'Состав ВТК'!P54&lt;=Выплаты!$G$8),ROUND(('Расчет участников НИР'!$H61*'счеталка премий'!O51),2),0)),2),0)</f>
        <v>0</v>
      </c>
      <c r="I59" s="310">
        <f>IFERROR(ROUND(IF(H59=0,ROUND(('Расчет участников НИР'!$H61*'счеталка премий'!O51),2)-H59,0),2),0)</f>
        <v>0</v>
      </c>
      <c r="J59" s="310">
        <f t="shared" si="6"/>
        <v>0</v>
      </c>
      <c r="K59" s="306"/>
      <c r="L59" s="310" t="str">
        <f t="shared" si="7"/>
        <v>0,00</v>
      </c>
      <c r="M59" s="310">
        <f>IFERROR(ROUND(IF('Состав ВТК'!P54="",IF(AND('Состав ВТК'!M54&gt;=Выплаты!$L$8,'Состав ВТК'!L54&lt;=Выплаты!$L$8),ROUND(IF('счеталка премий'!I51&lt;0,0,('Расчет участников НИР'!$H61*'счеталка премий'!P51)),2),0),IF(AND('Состав ВТК'!Q54&gt;=Выплаты!$L$8,'Состав ВТК'!P54&lt;=Выплаты!$L$8),ROUND(IF('счеталка премий'!I51&lt;0,0,('Расчет участников НИР'!$H61*'счеталка премий'!P51)),2),0)),2),0)</f>
        <v>0</v>
      </c>
      <c r="N59" s="310">
        <f>IFERROR(ROUND(IF(M59=0,ROUND(('Расчет участников НИР'!$H61*'счеталка премий'!P51),2)-M59,0),2),0)</f>
        <v>0</v>
      </c>
      <c r="O59" s="310">
        <f t="shared" si="13"/>
        <v>0</v>
      </c>
      <c r="P59" s="306"/>
      <c r="Q59" s="310" t="str">
        <f t="shared" si="9"/>
        <v>0,00</v>
      </c>
      <c r="R59" s="310">
        <f>IFERROR(ROUND(IF('Состав ВТК'!P54="",IF(AND('Состав ВТК'!M54&gt;=Выплаты!$Q$8,'Состав ВТК'!L54&lt;=Выплаты!$Q$8),ROUND(IF('счеталка премий'!J51&lt;0,0,('Расчет участников НИР'!$H61*'счеталка премий'!Q51)),2),0),IF(AND('Состав ВТК'!Q54&gt;=Выплаты!$Q$8,'Состав ВТК'!P54&lt;=Выплаты!$Q$8),ROUND(IF('счеталка премий'!J51&lt;0,0,('Расчет участников НИР'!$H61*'счеталка премий'!Q51)),2),0)),2),0)</f>
        <v>0</v>
      </c>
      <c r="S59" s="310">
        <f>IFERROR(ROUND(IF(R59=0,ROUND(('Расчет участников НИР'!$H61*'счеталка премий'!Q51),2)-R59,0),2),0)</f>
        <v>0</v>
      </c>
      <c r="T59" s="310">
        <f t="shared" si="14"/>
        <v>0</v>
      </c>
      <c r="U59" s="306"/>
      <c r="V59" s="310">
        <f t="shared" si="10"/>
        <v>0</v>
      </c>
      <c r="W59" s="310" t="str">
        <f t="shared" si="11"/>
        <v>0,00</v>
      </c>
      <c r="X59" s="310">
        <f>IFERROR(ROUND(IF('Состав ВТК'!P54="",IF('Состав ВТК'!M54&gt;=Выплаты!$V$8,ROUND(IF('счеталка премий'!K51&lt;0,0,'Расчет участников НИР'!$H61*'счеталка премий'!R51),2),0),IF('Состав ВТК'!Q54&gt;=Выплаты!$V$8,ROUND(IF('счеталка премий'!K51&lt;0,0,'Расчет участников НИР'!$H61*'счеталка премий'!R51),2),0)),2),0)</f>
        <v>0</v>
      </c>
      <c r="Y59" s="310">
        <f>IFERROR(ROUND(IF(OR(IF('Состав ВТК'!L54="",AND('Состав ВТК'!Q54&lt;=Выплаты!$V$8,'Состав ВТК'!P54&lt;Выплаты!$V$8),AND('Состав ВТК'!M54&lt;=Выплаты!$V$8,'Состав ВТК'!$K54=справочник!$A$5)),W59=0),0,$Y$12/(Распределение!$N$11-SUMIF($W$14:$W$114,0,Распределение!$N$13:$N$125))*Распределение!N58),2),"0,00")</f>
        <v>0</v>
      </c>
      <c r="Z59" s="310">
        <f>IFERROR(ROUND(IF(X59=0,ROUND(('Расчет участников НИР'!$H61*'счеталка премий'!R51),2)-X59,0),2),0)</f>
        <v>0</v>
      </c>
      <c r="AA59" s="306"/>
      <c r="AB59" s="309">
        <f t="shared" si="12"/>
        <v>0</v>
      </c>
      <c r="AC59" s="309">
        <f t="shared" si="15"/>
        <v>0</v>
      </c>
      <c r="AE59" s="308"/>
    </row>
    <row r="60" spans="1:31" hidden="1" x14ac:dyDescent="0.25">
      <c r="A60" s="247">
        <v>47</v>
      </c>
      <c r="B60" s="602">
        <f>'Состав ВТК'!$B55</f>
        <v>0</v>
      </c>
      <c r="C60" s="310" t="str">
        <f>IFERROR(VLOOKUP($B60,'Состав ВТК'!$B$9:$I$108,7,FALSE),"-")</f>
        <v>-</v>
      </c>
      <c r="D60" s="310" t="str">
        <f>IFERROR(VLOOKUP($B60,'Состав ВТК'!$B$9:$I$108,8,FALSE),"-")</f>
        <v>-</v>
      </c>
      <c r="E60" s="310">
        <f>ROUND(IF($B60='Расчет участников НИР'!$A62,'Расчет участников НИР'!$M62),2)</f>
        <v>0</v>
      </c>
      <c r="F60" s="310">
        <f>ROUND('Расчет участников НИР'!$H62*50%-$E60,2)</f>
        <v>0</v>
      </c>
      <c r="G60" s="310" t="str">
        <f t="shared" si="5"/>
        <v>0,00</v>
      </c>
      <c r="H60" s="310">
        <f>IFERROR(ROUND(IF('Состав ВТК'!P55="",IF(AND('Состав ВТК'!M55&gt;=Выплаты!$G$8,'Состав ВТК'!L55&lt;=Выплаты!$G$8),ROUND(('Расчет участников НИР'!$H62*'счеталка премий'!O52),2),0),IF(AND('Состав ВТК'!Q55&gt;=Выплаты!$G$8,'Состав ВТК'!P55&lt;=Выплаты!$G$8),ROUND(('Расчет участников НИР'!$H62*'счеталка премий'!O52),2),0)),2),0)</f>
        <v>0</v>
      </c>
      <c r="I60" s="310">
        <f>IFERROR(ROUND(IF(H60=0,ROUND(('Расчет участников НИР'!$H62*'счеталка премий'!O52),2)-H60,0),2),0)</f>
        <v>0</v>
      </c>
      <c r="J60" s="310">
        <f t="shared" si="6"/>
        <v>0</v>
      </c>
      <c r="K60" s="306"/>
      <c r="L60" s="310" t="str">
        <f t="shared" si="7"/>
        <v>0,00</v>
      </c>
      <c r="M60" s="310">
        <f>IFERROR(ROUND(IF('Состав ВТК'!P55="",IF(AND('Состав ВТК'!M55&gt;=Выплаты!$L$8,'Состав ВТК'!L55&lt;=Выплаты!$L$8),ROUND(IF('счеталка премий'!I52&lt;0,0,('Расчет участников НИР'!$H62*'счеталка премий'!P52)),2),0),IF(AND('Состав ВТК'!Q55&gt;=Выплаты!$L$8,'Состав ВТК'!P55&lt;=Выплаты!$L$8),ROUND(IF('счеталка премий'!I52&lt;0,0,('Расчет участников НИР'!$H62*'счеталка премий'!P52)),2),0)),2),0)</f>
        <v>0</v>
      </c>
      <c r="N60" s="310">
        <f>IFERROR(ROUND(IF(M60=0,ROUND(('Расчет участников НИР'!$H62*'счеталка премий'!P52),2)-M60,0),2),0)</f>
        <v>0</v>
      </c>
      <c r="O60" s="310">
        <f t="shared" si="13"/>
        <v>0</v>
      </c>
      <c r="P60" s="306"/>
      <c r="Q60" s="310" t="str">
        <f t="shared" si="9"/>
        <v>0,00</v>
      </c>
      <c r="R60" s="310">
        <f>IFERROR(ROUND(IF('Состав ВТК'!P55="",IF(AND('Состав ВТК'!M55&gt;=Выплаты!$Q$8,'Состав ВТК'!L55&lt;=Выплаты!$Q$8),ROUND(IF('счеталка премий'!J52&lt;0,0,('Расчет участников НИР'!$H62*'счеталка премий'!Q52)),2),0),IF(AND('Состав ВТК'!Q55&gt;=Выплаты!$Q$8,'Состав ВТК'!P55&lt;=Выплаты!$Q$8),ROUND(IF('счеталка премий'!J52&lt;0,0,('Расчет участников НИР'!$H62*'счеталка премий'!Q52)),2),0)),2),0)</f>
        <v>0</v>
      </c>
      <c r="S60" s="310">
        <f>IFERROR(ROUND(IF(R60=0,ROUND(('Расчет участников НИР'!$H62*'счеталка премий'!Q52),2)-R60,0),2),0)</f>
        <v>0</v>
      </c>
      <c r="T60" s="310">
        <f t="shared" si="14"/>
        <v>0</v>
      </c>
      <c r="U60" s="306"/>
      <c r="V60" s="310">
        <f t="shared" si="10"/>
        <v>0</v>
      </c>
      <c r="W60" s="310" t="str">
        <f t="shared" si="11"/>
        <v>0,00</v>
      </c>
      <c r="X60" s="310">
        <f>IFERROR(ROUND(IF('Состав ВТК'!P55="",IF('Состав ВТК'!M55&gt;=Выплаты!$V$8,ROUND(IF('счеталка премий'!K52&lt;0,0,'Расчет участников НИР'!$H62*'счеталка премий'!R52),2),0),IF('Состав ВТК'!Q55&gt;=Выплаты!$V$8,ROUND(IF('счеталка премий'!K52&lt;0,0,'Расчет участников НИР'!$H62*'счеталка премий'!R52),2),0)),2),0)</f>
        <v>0</v>
      </c>
      <c r="Y60" s="310">
        <f>IFERROR(ROUND(IF(OR(IF('Состав ВТК'!L55="",AND('Состав ВТК'!Q55&lt;=Выплаты!$V$8,'Состав ВТК'!P55&lt;Выплаты!$V$8),AND('Состав ВТК'!M55&lt;=Выплаты!$V$8,'Состав ВТК'!$K55=справочник!$A$5)),W60=0),0,$Y$12/(Распределение!$N$11-SUMIF($W$14:$W$114,0,Распределение!$N$13:$N$125))*Распределение!N59),2),"0,00")</f>
        <v>0</v>
      </c>
      <c r="Z60" s="310">
        <f>IFERROR(ROUND(IF(X60=0,ROUND(('Расчет участников НИР'!$H62*'счеталка премий'!R52),2)-X60,0),2),0)</f>
        <v>0</v>
      </c>
      <c r="AA60" s="306"/>
      <c r="AB60" s="309">
        <f t="shared" si="12"/>
        <v>0</v>
      </c>
      <c r="AC60" s="309">
        <f t="shared" si="15"/>
        <v>0</v>
      </c>
      <c r="AE60" s="308"/>
    </row>
    <row r="61" spans="1:31" hidden="1" x14ac:dyDescent="0.25">
      <c r="A61" s="247">
        <v>48</v>
      </c>
      <c r="B61" s="602">
        <f>'Состав ВТК'!$B56</f>
        <v>0</v>
      </c>
      <c r="C61" s="310" t="str">
        <f>IFERROR(VLOOKUP($B61,'Состав ВТК'!$B$9:$I$108,7,FALSE),"-")</f>
        <v>-</v>
      </c>
      <c r="D61" s="310" t="str">
        <f>IFERROR(VLOOKUP($B61,'Состав ВТК'!$B$9:$I$108,8,FALSE),"-")</f>
        <v>-</v>
      </c>
      <c r="E61" s="310">
        <f>ROUND(IF($B61='Расчет участников НИР'!$A63,'Расчет участников НИР'!$M63),2)</f>
        <v>0</v>
      </c>
      <c r="F61" s="310">
        <f>ROUND('Расчет участников НИР'!$H63*50%-$E61,2)</f>
        <v>0</v>
      </c>
      <c r="G61" s="310" t="str">
        <f t="shared" si="5"/>
        <v>0,00</v>
      </c>
      <c r="H61" s="310">
        <f>IFERROR(ROUND(IF('Состав ВТК'!P56="",IF(AND('Состав ВТК'!M56&gt;=Выплаты!$G$8,'Состав ВТК'!L56&lt;=Выплаты!$G$8),ROUND(('Расчет участников НИР'!$H63*'счеталка премий'!O53),2),0),IF(AND('Состав ВТК'!Q56&gt;=Выплаты!$G$8,'Состав ВТК'!P56&lt;=Выплаты!$G$8),ROUND(('Расчет участников НИР'!$H63*'счеталка премий'!O53),2),0)),2),0)</f>
        <v>0</v>
      </c>
      <c r="I61" s="310">
        <f>IFERROR(ROUND(IF(H61=0,ROUND(('Расчет участников НИР'!$H63*'счеталка премий'!O53),2)-H61,0),2),0)</f>
        <v>0</v>
      </c>
      <c r="J61" s="310">
        <f t="shared" si="6"/>
        <v>0</v>
      </c>
      <c r="K61" s="306"/>
      <c r="L61" s="310" t="str">
        <f t="shared" si="7"/>
        <v>0,00</v>
      </c>
      <c r="M61" s="310">
        <f>IFERROR(ROUND(IF('Состав ВТК'!P56="",IF(AND('Состав ВТК'!M56&gt;=Выплаты!$L$8,'Состав ВТК'!L56&lt;=Выплаты!$L$8),ROUND(IF('счеталка премий'!I53&lt;0,0,('Расчет участников НИР'!$H63*'счеталка премий'!P53)),2),0),IF(AND('Состав ВТК'!Q56&gt;=Выплаты!$L$8,'Состав ВТК'!P56&lt;=Выплаты!$L$8),ROUND(IF('счеталка премий'!I53&lt;0,0,('Расчет участников НИР'!$H63*'счеталка премий'!P53)),2),0)),2),0)</f>
        <v>0</v>
      </c>
      <c r="N61" s="310">
        <f>IFERROR(ROUND(IF(M61=0,ROUND(('Расчет участников НИР'!$H63*'счеталка премий'!P53),2)-M61,0),2),0)</f>
        <v>0</v>
      </c>
      <c r="O61" s="310">
        <f t="shared" si="13"/>
        <v>0</v>
      </c>
      <c r="P61" s="306"/>
      <c r="Q61" s="310" t="str">
        <f t="shared" si="9"/>
        <v>0,00</v>
      </c>
      <c r="R61" s="310">
        <f>IFERROR(ROUND(IF('Состав ВТК'!P56="",IF(AND('Состав ВТК'!M56&gt;=Выплаты!$Q$8,'Состав ВТК'!L56&lt;=Выплаты!$Q$8),ROUND(IF('счеталка премий'!J53&lt;0,0,('Расчет участников НИР'!$H63*'счеталка премий'!Q53)),2),0),IF(AND('Состав ВТК'!Q56&gt;=Выплаты!$Q$8,'Состав ВТК'!P56&lt;=Выплаты!$Q$8),ROUND(IF('счеталка премий'!J53&lt;0,0,('Расчет участников НИР'!$H63*'счеталка премий'!Q53)),2),0)),2),0)</f>
        <v>0</v>
      </c>
      <c r="S61" s="310">
        <f>IFERROR(ROUND(IF(R61=0,ROUND(('Расчет участников НИР'!$H63*'счеталка премий'!Q53),2)-R61,0),2),0)</f>
        <v>0</v>
      </c>
      <c r="T61" s="310">
        <f t="shared" si="14"/>
        <v>0</v>
      </c>
      <c r="U61" s="306"/>
      <c r="V61" s="310">
        <f t="shared" si="10"/>
        <v>0</v>
      </c>
      <c r="W61" s="310" t="str">
        <f t="shared" si="11"/>
        <v>0,00</v>
      </c>
      <c r="X61" s="310">
        <f>IFERROR(ROUND(IF('Состав ВТК'!P56="",IF('Состав ВТК'!M56&gt;=Выплаты!$V$8,ROUND(IF('счеталка премий'!K53&lt;0,0,'Расчет участников НИР'!$H63*'счеталка премий'!R53),2),0),IF('Состав ВТК'!Q56&gt;=Выплаты!$V$8,ROUND(IF('счеталка премий'!K53&lt;0,0,'Расчет участников НИР'!$H63*'счеталка премий'!R53),2),0)),2),0)</f>
        <v>0</v>
      </c>
      <c r="Y61" s="310">
        <f>IFERROR(ROUND(IF(OR(IF('Состав ВТК'!L56="",AND('Состав ВТК'!Q56&lt;=Выплаты!$V$8,'Состав ВТК'!P56&lt;Выплаты!$V$8),AND('Состав ВТК'!M56&lt;=Выплаты!$V$8,'Состав ВТК'!$K56=справочник!$A$5)),W61=0),0,$Y$12/(Распределение!$N$11-SUMIF($W$14:$W$114,0,Распределение!$N$13:$N$125))*Распределение!N60),2),"0,00")</f>
        <v>0</v>
      </c>
      <c r="Z61" s="310">
        <f>IFERROR(ROUND(IF(X61=0,ROUND(('Расчет участников НИР'!$H63*'счеталка премий'!R53),2)-X61,0),2),0)</f>
        <v>0</v>
      </c>
      <c r="AA61" s="306"/>
      <c r="AB61" s="309">
        <f t="shared" si="12"/>
        <v>0</v>
      </c>
      <c r="AC61" s="309">
        <f t="shared" si="15"/>
        <v>0</v>
      </c>
      <c r="AE61" s="308"/>
    </row>
    <row r="62" spans="1:31" hidden="1" x14ac:dyDescent="0.25">
      <c r="A62" s="247">
        <v>49</v>
      </c>
      <c r="B62" s="602">
        <f>'Состав ВТК'!$B57</f>
        <v>0</v>
      </c>
      <c r="C62" s="310" t="str">
        <f>IFERROR(VLOOKUP($B62,'Состав ВТК'!$B$9:$I$108,7,FALSE),"-")</f>
        <v>-</v>
      </c>
      <c r="D62" s="310" t="str">
        <f>IFERROR(VLOOKUP($B62,'Состав ВТК'!$B$9:$I$108,8,FALSE),"-")</f>
        <v>-</v>
      </c>
      <c r="E62" s="310">
        <f>ROUND(IF($B62='Расчет участников НИР'!$A64,'Расчет участников НИР'!$M64),2)</f>
        <v>0</v>
      </c>
      <c r="F62" s="310">
        <f>ROUND('Расчет участников НИР'!$H64*50%-$E62,2)</f>
        <v>0</v>
      </c>
      <c r="G62" s="310" t="str">
        <f t="shared" si="5"/>
        <v>0,00</v>
      </c>
      <c r="H62" s="310">
        <f>IFERROR(ROUND(IF('Состав ВТК'!P57="",IF(AND('Состав ВТК'!M57&gt;=Выплаты!$G$8,'Состав ВТК'!L57&lt;=Выплаты!$G$8),ROUND(('Расчет участников НИР'!$H64*'счеталка премий'!O54),2),0),IF(AND('Состав ВТК'!Q57&gt;=Выплаты!$G$8,'Состав ВТК'!P57&lt;=Выплаты!$G$8),ROUND(('Расчет участников НИР'!$H64*'счеталка премий'!O54),2),0)),2),0)</f>
        <v>0</v>
      </c>
      <c r="I62" s="310">
        <f>IFERROR(ROUND(IF(H62=0,ROUND(('Расчет участников НИР'!$H64*'счеталка премий'!O54),2)-H62,0),2),0)</f>
        <v>0</v>
      </c>
      <c r="J62" s="310">
        <f t="shared" si="6"/>
        <v>0</v>
      </c>
      <c r="K62" s="306"/>
      <c r="L62" s="310" t="str">
        <f t="shared" si="7"/>
        <v>0,00</v>
      </c>
      <c r="M62" s="310">
        <f>IFERROR(ROUND(IF('Состав ВТК'!P57="",IF(AND('Состав ВТК'!M57&gt;=Выплаты!$L$8,'Состав ВТК'!L57&lt;=Выплаты!$L$8),ROUND(IF('счеталка премий'!I54&lt;0,0,('Расчет участников НИР'!$H64*'счеталка премий'!P54)),2),0),IF(AND('Состав ВТК'!Q57&gt;=Выплаты!$L$8,'Состав ВТК'!P57&lt;=Выплаты!$L$8),ROUND(IF('счеталка премий'!I54&lt;0,0,('Расчет участников НИР'!$H64*'счеталка премий'!P54)),2),0)),2),0)</f>
        <v>0</v>
      </c>
      <c r="N62" s="310">
        <f>IFERROR(ROUND(IF(M62=0,ROUND(('Расчет участников НИР'!$H64*'счеталка премий'!P54),2)-M62,0),2),0)</f>
        <v>0</v>
      </c>
      <c r="O62" s="310">
        <f t="shared" si="13"/>
        <v>0</v>
      </c>
      <c r="P62" s="306"/>
      <c r="Q62" s="310" t="str">
        <f t="shared" si="9"/>
        <v>0,00</v>
      </c>
      <c r="R62" s="310">
        <f>IFERROR(ROUND(IF('Состав ВТК'!P57="",IF(AND('Состав ВТК'!M57&gt;=Выплаты!$Q$8,'Состав ВТК'!L57&lt;=Выплаты!$Q$8),ROUND(IF('счеталка премий'!J54&lt;0,0,('Расчет участников НИР'!$H64*'счеталка премий'!Q54)),2),0),IF(AND('Состав ВТК'!Q57&gt;=Выплаты!$Q$8,'Состав ВТК'!P57&lt;=Выплаты!$Q$8),ROUND(IF('счеталка премий'!J54&lt;0,0,('Расчет участников НИР'!$H64*'счеталка премий'!Q54)),2),0)),2),0)</f>
        <v>0</v>
      </c>
      <c r="S62" s="310">
        <f>IFERROR(ROUND(IF(R62=0,ROUND(('Расчет участников НИР'!$H64*'счеталка премий'!Q54),2)-R62,0),2),0)</f>
        <v>0</v>
      </c>
      <c r="T62" s="310">
        <f t="shared" si="14"/>
        <v>0</v>
      </c>
      <c r="U62" s="306"/>
      <c r="V62" s="310">
        <f t="shared" si="10"/>
        <v>0</v>
      </c>
      <c r="W62" s="310" t="str">
        <f t="shared" si="11"/>
        <v>0,00</v>
      </c>
      <c r="X62" s="310">
        <f>IFERROR(ROUND(IF('Состав ВТК'!P57="",IF('Состав ВТК'!M57&gt;=Выплаты!$V$8,ROUND(IF('счеталка премий'!K54&lt;0,0,'Расчет участников НИР'!$H64*'счеталка премий'!R54),2),0),IF('Состав ВТК'!Q57&gt;=Выплаты!$V$8,ROUND(IF('счеталка премий'!K54&lt;0,0,'Расчет участников НИР'!$H64*'счеталка премий'!R54),2),0)),2),0)</f>
        <v>0</v>
      </c>
      <c r="Y62" s="310">
        <f>IFERROR(ROUND(IF(OR(IF('Состав ВТК'!L57="",AND('Состав ВТК'!Q57&lt;=Выплаты!$V$8,'Состав ВТК'!P57&lt;Выплаты!$V$8),AND('Состав ВТК'!M57&lt;=Выплаты!$V$8,'Состав ВТК'!$K57=справочник!$A$5)),W62=0),0,$Y$12/(Распределение!$N$11-SUMIF($W$14:$W$114,0,Распределение!$N$13:$N$125))*Распределение!N61),2),"0,00")</f>
        <v>0</v>
      </c>
      <c r="Z62" s="310">
        <f>IFERROR(ROUND(IF(X62=0,ROUND(('Расчет участников НИР'!$H64*'счеталка премий'!R54),2)-X62,0),2),0)</f>
        <v>0</v>
      </c>
      <c r="AA62" s="306"/>
      <c r="AB62" s="309">
        <f t="shared" si="12"/>
        <v>0</v>
      </c>
      <c r="AC62" s="309">
        <f t="shared" si="15"/>
        <v>0</v>
      </c>
      <c r="AE62" s="308"/>
    </row>
    <row r="63" spans="1:31" hidden="1" x14ac:dyDescent="0.25">
      <c r="A63" s="247">
        <v>50</v>
      </c>
      <c r="B63" s="602">
        <f>'Состав ВТК'!$B58</f>
        <v>0</v>
      </c>
      <c r="C63" s="310" t="str">
        <f>IFERROR(VLOOKUP($B63,'Состав ВТК'!$B$9:$I$108,7,FALSE),"-")</f>
        <v>-</v>
      </c>
      <c r="D63" s="310" t="str">
        <f>IFERROR(VLOOKUP($B63,'Состав ВТК'!$B$9:$I$108,8,FALSE),"-")</f>
        <v>-</v>
      </c>
      <c r="E63" s="310">
        <f>ROUND(IF($B63='Расчет участников НИР'!$A65,'Расчет участников НИР'!$M65),2)</f>
        <v>0</v>
      </c>
      <c r="F63" s="310">
        <f>ROUND('Расчет участников НИР'!$H65*50%-$E63,2)</f>
        <v>0</v>
      </c>
      <c r="G63" s="310" t="str">
        <f t="shared" si="5"/>
        <v>0,00</v>
      </c>
      <c r="H63" s="310">
        <f>IFERROR(ROUND(IF('Состав ВТК'!P58="",IF(AND('Состав ВТК'!M58&gt;=Выплаты!$G$8,'Состав ВТК'!L58&lt;=Выплаты!$G$8),ROUND(('Расчет участников НИР'!$H65*'счеталка премий'!O55),2),0),IF(AND('Состав ВТК'!Q58&gt;=Выплаты!$G$8,'Состав ВТК'!P58&lt;=Выплаты!$G$8),ROUND(('Расчет участников НИР'!$H65*'счеталка премий'!O55),2),0)),2),0)</f>
        <v>0</v>
      </c>
      <c r="I63" s="310">
        <f>IFERROR(ROUND(IF(H63=0,ROUND(('Расчет участников НИР'!$H65*'счеталка премий'!O55),2)-H63,0),2),0)</f>
        <v>0</v>
      </c>
      <c r="J63" s="310">
        <f t="shared" si="6"/>
        <v>0</v>
      </c>
      <c r="K63" s="306"/>
      <c r="L63" s="310" t="str">
        <f t="shared" si="7"/>
        <v>0,00</v>
      </c>
      <c r="M63" s="310">
        <f>IFERROR(ROUND(IF('Состав ВТК'!P58="",IF(AND('Состав ВТК'!M58&gt;=Выплаты!$L$8,'Состав ВТК'!L58&lt;=Выплаты!$L$8),ROUND(IF('счеталка премий'!I55&lt;0,0,('Расчет участников НИР'!$H65*'счеталка премий'!P55)),2),0),IF(AND('Состав ВТК'!Q58&gt;=Выплаты!$L$8,'Состав ВТК'!P58&lt;=Выплаты!$L$8),ROUND(IF('счеталка премий'!I55&lt;0,0,('Расчет участников НИР'!$H65*'счеталка премий'!P55)),2),0)),2),0)</f>
        <v>0</v>
      </c>
      <c r="N63" s="310">
        <f>IFERROR(ROUND(IF(M63=0,ROUND(('Расчет участников НИР'!$H65*'счеталка премий'!P55),2)-M63,0),2),0)</f>
        <v>0</v>
      </c>
      <c r="O63" s="310">
        <f t="shared" si="13"/>
        <v>0</v>
      </c>
      <c r="P63" s="306"/>
      <c r="Q63" s="310" t="str">
        <f t="shared" si="9"/>
        <v>0,00</v>
      </c>
      <c r="R63" s="310">
        <f>IFERROR(ROUND(IF('Состав ВТК'!P58="",IF(AND('Состав ВТК'!M58&gt;=Выплаты!$Q$8,'Состав ВТК'!L58&lt;=Выплаты!$Q$8),ROUND(IF('счеталка премий'!J55&lt;0,0,('Расчет участников НИР'!$H65*'счеталка премий'!Q55)),2),0),IF(AND('Состав ВТК'!Q58&gt;=Выплаты!$Q$8,'Состав ВТК'!P58&lt;=Выплаты!$Q$8),ROUND(IF('счеталка премий'!J55&lt;0,0,('Расчет участников НИР'!$H65*'счеталка премий'!Q55)),2),0)),2),0)</f>
        <v>0</v>
      </c>
      <c r="S63" s="310">
        <f>IFERROR(ROUND(IF(R63=0,ROUND(('Расчет участников НИР'!$H65*'счеталка премий'!Q55),2)-R63,0),2),0)</f>
        <v>0</v>
      </c>
      <c r="T63" s="310">
        <f t="shared" si="14"/>
        <v>0</v>
      </c>
      <c r="U63" s="306"/>
      <c r="V63" s="310">
        <f t="shared" si="10"/>
        <v>0</v>
      </c>
      <c r="W63" s="310" t="str">
        <f t="shared" si="11"/>
        <v>0,00</v>
      </c>
      <c r="X63" s="310">
        <f>IFERROR(ROUND(IF('Состав ВТК'!P58="",IF('Состав ВТК'!M58&gt;=Выплаты!$V$8,ROUND(IF('счеталка премий'!K55&lt;0,0,'Расчет участников НИР'!$H65*'счеталка премий'!R55),2),0),IF('Состав ВТК'!Q58&gt;=Выплаты!$V$8,ROUND(IF('счеталка премий'!K55&lt;0,0,'Расчет участников НИР'!$H65*'счеталка премий'!R55),2),0)),2),0)</f>
        <v>0</v>
      </c>
      <c r="Y63" s="310">
        <f>IFERROR(ROUND(IF(OR(IF('Состав ВТК'!L58="",AND('Состав ВТК'!Q58&lt;=Выплаты!$V$8,'Состав ВТК'!P58&lt;Выплаты!$V$8),AND('Состав ВТК'!M58&lt;=Выплаты!$V$8,'Состав ВТК'!$K58=справочник!$A$5)),W63=0),0,$Y$12/(Распределение!$N$11-SUMIF($W$14:$W$114,0,Распределение!$N$13:$N$125))*Распределение!N62),2),"0,00")</f>
        <v>0</v>
      </c>
      <c r="Z63" s="310">
        <f>IFERROR(ROUND(IF(X63=0,ROUND(('Расчет участников НИР'!$H65*'счеталка премий'!R55),2)-X63,0),2),0)</f>
        <v>0</v>
      </c>
      <c r="AA63" s="306"/>
      <c r="AB63" s="309">
        <f t="shared" si="12"/>
        <v>0</v>
      </c>
      <c r="AC63" s="309">
        <f t="shared" si="15"/>
        <v>0</v>
      </c>
      <c r="AE63" s="308"/>
    </row>
    <row r="64" spans="1:31" hidden="1" x14ac:dyDescent="0.25">
      <c r="A64" s="247">
        <v>51</v>
      </c>
      <c r="B64" s="602">
        <f>'Состав ВТК'!$B59</f>
        <v>0</v>
      </c>
      <c r="C64" s="310" t="str">
        <f>IFERROR(VLOOKUP($B64,'Состав ВТК'!$B$9:$I$108,7,FALSE),"-")</f>
        <v>-</v>
      </c>
      <c r="D64" s="310" t="str">
        <f>IFERROR(VLOOKUP($B64,'Состав ВТК'!$B$9:$I$108,8,FALSE),"-")</f>
        <v>-</v>
      </c>
      <c r="E64" s="310">
        <f>ROUND(IF($B64='Расчет участников НИР'!$A66,'Расчет участников НИР'!$M66),2)</f>
        <v>0</v>
      </c>
      <c r="F64" s="310">
        <f>ROUND('Расчет участников НИР'!$H66*50%-$E64,2)</f>
        <v>0</v>
      </c>
      <c r="G64" s="310" t="str">
        <f t="shared" si="5"/>
        <v>0,00</v>
      </c>
      <c r="H64" s="310">
        <f>IFERROR(ROUND(IF('Состав ВТК'!P59="",IF(AND('Состав ВТК'!M59&gt;=Выплаты!$G$8,'Состав ВТК'!L59&lt;=Выплаты!$G$8),ROUND(('Расчет участников НИР'!$H66*'счеталка премий'!O56),2),0),IF(AND('Состав ВТК'!Q59&gt;=Выплаты!$G$8,'Состав ВТК'!P59&lt;=Выплаты!$G$8),ROUND(('Расчет участников НИР'!$H66*'счеталка премий'!O56),2),0)),2),0)</f>
        <v>0</v>
      </c>
      <c r="I64" s="310">
        <f>IFERROR(ROUND(IF(H64=0,ROUND(('Расчет участников НИР'!$H66*'счеталка премий'!O56),2)-H64,0),2),0)</f>
        <v>0</v>
      </c>
      <c r="J64" s="310">
        <f t="shared" si="6"/>
        <v>0</v>
      </c>
      <c r="K64" s="306"/>
      <c r="L64" s="310" t="str">
        <f t="shared" si="7"/>
        <v>0,00</v>
      </c>
      <c r="M64" s="310">
        <f>IFERROR(ROUND(IF('Состав ВТК'!P59="",IF(AND('Состав ВТК'!M59&gt;=Выплаты!$L$8,'Состав ВТК'!L59&lt;=Выплаты!$L$8),ROUND(IF('счеталка премий'!I56&lt;0,0,('Расчет участников НИР'!$H66*'счеталка премий'!P56)),2),0),IF(AND('Состав ВТК'!Q59&gt;=Выплаты!$L$8,'Состав ВТК'!P59&lt;=Выплаты!$L$8),ROUND(IF('счеталка премий'!I56&lt;0,0,('Расчет участников НИР'!$H66*'счеталка премий'!P56)),2),0)),2),0)</f>
        <v>0</v>
      </c>
      <c r="N64" s="310">
        <f>IFERROR(ROUND(IF(M64=0,ROUND(('Расчет участников НИР'!$H66*'счеталка премий'!P56),2)-M64,0),2),0)</f>
        <v>0</v>
      </c>
      <c r="O64" s="310">
        <f t="shared" si="13"/>
        <v>0</v>
      </c>
      <c r="P64" s="306"/>
      <c r="Q64" s="310" t="str">
        <f t="shared" si="9"/>
        <v>0,00</v>
      </c>
      <c r="R64" s="310">
        <f>IFERROR(ROUND(IF('Состав ВТК'!P59="",IF(AND('Состав ВТК'!M59&gt;=Выплаты!$Q$8,'Состав ВТК'!L59&lt;=Выплаты!$Q$8),ROUND(IF('счеталка премий'!J56&lt;0,0,('Расчет участников НИР'!$H66*'счеталка премий'!Q56)),2),0),IF(AND('Состав ВТК'!Q59&gt;=Выплаты!$Q$8,'Состав ВТК'!P59&lt;=Выплаты!$Q$8),ROUND(IF('счеталка премий'!J56&lt;0,0,('Расчет участников НИР'!$H66*'счеталка премий'!Q56)),2),0)),2),0)</f>
        <v>0</v>
      </c>
      <c r="S64" s="310">
        <f>IFERROR(ROUND(IF(R64=0,ROUND(('Расчет участников НИР'!$H66*'счеталка премий'!Q56),2)-R64,0),2),0)</f>
        <v>0</v>
      </c>
      <c r="T64" s="310">
        <f t="shared" si="14"/>
        <v>0</v>
      </c>
      <c r="U64" s="306"/>
      <c r="V64" s="310">
        <f t="shared" si="10"/>
        <v>0</v>
      </c>
      <c r="W64" s="310" t="str">
        <f t="shared" si="11"/>
        <v>0,00</v>
      </c>
      <c r="X64" s="310">
        <f>IFERROR(ROUND(IF('Состав ВТК'!P59="",IF('Состав ВТК'!M59&gt;=Выплаты!$V$8,ROUND(IF('счеталка премий'!K56&lt;0,0,'Расчет участников НИР'!$H66*'счеталка премий'!R56),2),0),IF('Состав ВТК'!Q59&gt;=Выплаты!$V$8,ROUND(IF('счеталка премий'!K56&lt;0,0,'Расчет участников НИР'!$H66*'счеталка премий'!R56),2),0)),2),0)</f>
        <v>0</v>
      </c>
      <c r="Y64" s="310">
        <f>IFERROR(ROUND(IF(OR(IF('Состав ВТК'!L59="",AND('Состав ВТК'!Q59&lt;=Выплаты!$V$8,'Состав ВТК'!P59&lt;Выплаты!$V$8),AND('Состав ВТК'!M59&lt;=Выплаты!$V$8,'Состав ВТК'!$K59=справочник!$A$5)),W64=0),0,$Y$12/(Распределение!$N$11-SUMIF($W$14:$W$114,0,Распределение!$N$13:$N$125))*Распределение!N63),2),"0,00")</f>
        <v>0</v>
      </c>
      <c r="Z64" s="310">
        <f>IFERROR(ROUND(IF(X64=0,ROUND(('Расчет участников НИР'!$H66*'счеталка премий'!R56),2)-X64,0),2),0)</f>
        <v>0</v>
      </c>
      <c r="AA64" s="306"/>
      <c r="AB64" s="309">
        <f t="shared" si="12"/>
        <v>0</v>
      </c>
      <c r="AC64" s="309">
        <f t="shared" si="15"/>
        <v>0</v>
      </c>
      <c r="AE64" s="308"/>
    </row>
    <row r="65" spans="1:31" hidden="1" x14ac:dyDescent="0.25">
      <c r="A65" s="247">
        <v>52</v>
      </c>
      <c r="B65" s="602">
        <f>'Состав ВТК'!$B60</f>
        <v>0</v>
      </c>
      <c r="C65" s="310" t="str">
        <f>IFERROR(VLOOKUP($B65,'Состав ВТК'!$B$9:$I$108,7,FALSE),"-")</f>
        <v>-</v>
      </c>
      <c r="D65" s="310" t="str">
        <f>IFERROR(VLOOKUP($B65,'Состав ВТК'!$B$9:$I$108,8,FALSE),"-")</f>
        <v>-</v>
      </c>
      <c r="E65" s="310">
        <f>ROUND(IF($B65='Расчет участников НИР'!$A67,'Расчет участников НИР'!$M67),2)</f>
        <v>0</v>
      </c>
      <c r="F65" s="310">
        <f>ROUND('Расчет участников НИР'!$H67*50%-$E65,2)</f>
        <v>0</v>
      </c>
      <c r="G65" s="310" t="str">
        <f t="shared" si="5"/>
        <v>0,00</v>
      </c>
      <c r="H65" s="310">
        <f>IFERROR(ROUND(IF('Состав ВТК'!P60="",IF(AND('Состав ВТК'!M60&gt;=Выплаты!$G$8,'Состав ВТК'!L60&lt;=Выплаты!$G$8),ROUND(('Расчет участников НИР'!$H67*'счеталка премий'!O57),2),0),IF(AND('Состав ВТК'!Q60&gt;=Выплаты!$G$8,'Состав ВТК'!P60&lt;=Выплаты!$G$8),ROUND(('Расчет участников НИР'!$H67*'счеталка премий'!O57),2),0)),2),0)</f>
        <v>0</v>
      </c>
      <c r="I65" s="310">
        <f>IFERROR(ROUND(IF(H65=0,ROUND(('Расчет участников НИР'!$H67*'счеталка премий'!O57),2)-H65,0),2),0)</f>
        <v>0</v>
      </c>
      <c r="J65" s="310">
        <f t="shared" si="6"/>
        <v>0</v>
      </c>
      <c r="K65" s="306"/>
      <c r="L65" s="310" t="str">
        <f t="shared" si="7"/>
        <v>0,00</v>
      </c>
      <c r="M65" s="310">
        <f>IFERROR(ROUND(IF('Состав ВТК'!P60="",IF(AND('Состав ВТК'!M60&gt;=Выплаты!$L$8,'Состав ВТК'!L60&lt;=Выплаты!$L$8),ROUND(IF('счеталка премий'!I57&lt;0,0,('Расчет участников НИР'!$H67*'счеталка премий'!P57)),2),0),IF(AND('Состав ВТК'!Q60&gt;=Выплаты!$L$8,'Состав ВТК'!P60&lt;=Выплаты!$L$8),ROUND(IF('счеталка премий'!I57&lt;0,0,('Расчет участников НИР'!$H67*'счеталка премий'!P57)),2),0)),2),0)</f>
        <v>0</v>
      </c>
      <c r="N65" s="310">
        <f>IFERROR(ROUND(IF(M65=0,ROUND(('Расчет участников НИР'!$H67*'счеталка премий'!P57),2)-M65,0),2),0)</f>
        <v>0</v>
      </c>
      <c r="O65" s="310">
        <f t="shared" si="13"/>
        <v>0</v>
      </c>
      <c r="P65" s="306"/>
      <c r="Q65" s="310" t="str">
        <f t="shared" si="9"/>
        <v>0,00</v>
      </c>
      <c r="R65" s="310">
        <f>IFERROR(ROUND(IF('Состав ВТК'!P60="",IF(AND('Состав ВТК'!M60&gt;=Выплаты!$Q$8,'Состав ВТК'!L60&lt;=Выплаты!$Q$8),ROUND(IF('счеталка премий'!J57&lt;0,0,('Расчет участников НИР'!$H67*'счеталка премий'!Q57)),2),0),IF(AND('Состав ВТК'!Q60&gt;=Выплаты!$Q$8,'Состав ВТК'!P60&lt;=Выплаты!$Q$8),ROUND(IF('счеталка премий'!J57&lt;0,0,('Расчет участников НИР'!$H67*'счеталка премий'!Q57)),2),0)),2),0)</f>
        <v>0</v>
      </c>
      <c r="S65" s="310">
        <f>IFERROR(ROUND(IF(R65=0,ROUND(('Расчет участников НИР'!$H67*'счеталка премий'!Q57),2)-R65,0),2),0)</f>
        <v>0</v>
      </c>
      <c r="T65" s="310">
        <f t="shared" si="14"/>
        <v>0</v>
      </c>
      <c r="U65" s="306"/>
      <c r="V65" s="310">
        <f t="shared" si="10"/>
        <v>0</v>
      </c>
      <c r="W65" s="310" t="str">
        <f t="shared" si="11"/>
        <v>0,00</v>
      </c>
      <c r="X65" s="310">
        <f>IFERROR(ROUND(IF('Состав ВТК'!P60="",IF('Состав ВТК'!M60&gt;=Выплаты!$V$8,ROUND(IF('счеталка премий'!K57&lt;0,0,'Расчет участников НИР'!$H67*'счеталка премий'!R57),2),0),IF('Состав ВТК'!Q60&gt;=Выплаты!$V$8,ROUND(IF('счеталка премий'!K57&lt;0,0,'Расчет участников НИР'!$H67*'счеталка премий'!R57),2),0)),2),0)</f>
        <v>0</v>
      </c>
      <c r="Y65" s="310">
        <f>IFERROR(ROUND(IF(OR(IF('Состав ВТК'!L60="",AND('Состав ВТК'!Q60&lt;=Выплаты!$V$8,'Состав ВТК'!P60&lt;Выплаты!$V$8),AND('Состав ВТК'!M60&lt;=Выплаты!$V$8,'Состав ВТК'!$K60=справочник!$A$5)),W65=0),0,$Y$12/(Распределение!$N$11-SUMIF($W$14:$W$114,0,Распределение!$N$13:$N$125))*Распределение!N64),2),"0,00")</f>
        <v>0</v>
      </c>
      <c r="Z65" s="310">
        <f>IFERROR(ROUND(IF(X65=0,ROUND(('Расчет участников НИР'!$H67*'счеталка премий'!R57),2)-X65,0),2),0)</f>
        <v>0</v>
      </c>
      <c r="AA65" s="306"/>
      <c r="AB65" s="309">
        <f t="shared" si="12"/>
        <v>0</v>
      </c>
      <c r="AC65" s="309">
        <f t="shared" si="15"/>
        <v>0</v>
      </c>
      <c r="AE65" s="308"/>
    </row>
    <row r="66" spans="1:31" hidden="1" x14ac:dyDescent="0.25">
      <c r="A66" s="247">
        <v>53</v>
      </c>
      <c r="B66" s="602">
        <f>'Состав ВТК'!$B61</f>
        <v>0</v>
      </c>
      <c r="C66" s="310" t="str">
        <f>IFERROR(VLOOKUP($B66,'Состав ВТК'!$B$9:$I$108,7,FALSE),"-")</f>
        <v>-</v>
      </c>
      <c r="D66" s="310" t="str">
        <f>IFERROR(VLOOKUP($B66,'Состав ВТК'!$B$9:$I$108,8,FALSE),"-")</f>
        <v>-</v>
      </c>
      <c r="E66" s="310">
        <f>ROUND(IF($B66='Расчет участников НИР'!$A68,'Расчет участников НИР'!$M68),2)</f>
        <v>0</v>
      </c>
      <c r="F66" s="310">
        <f>ROUND('Расчет участников НИР'!$H68*50%-$E66,2)</f>
        <v>0</v>
      </c>
      <c r="G66" s="310" t="str">
        <f t="shared" si="5"/>
        <v>0,00</v>
      </c>
      <c r="H66" s="310">
        <f>IFERROR(ROUND(IF('Состав ВТК'!P61="",IF(AND('Состав ВТК'!M61&gt;=Выплаты!$G$8,'Состав ВТК'!L61&lt;=Выплаты!$G$8),ROUND(('Расчет участников НИР'!$H68*'счеталка премий'!O58),2),0),IF(AND('Состав ВТК'!Q61&gt;=Выплаты!$G$8,'Состав ВТК'!P61&lt;=Выплаты!$G$8),ROUND(('Расчет участников НИР'!$H68*'счеталка премий'!O58),2),0)),2),0)</f>
        <v>0</v>
      </c>
      <c r="I66" s="310">
        <f>IFERROR(ROUND(IF(H66=0,ROUND(('Расчет участников НИР'!$H68*'счеталка премий'!O58),2)-H66,0),2),0)</f>
        <v>0</v>
      </c>
      <c r="J66" s="310">
        <f t="shared" si="6"/>
        <v>0</v>
      </c>
      <c r="K66" s="306"/>
      <c r="L66" s="310" t="str">
        <f t="shared" si="7"/>
        <v>0,00</v>
      </c>
      <c r="M66" s="310">
        <f>IFERROR(ROUND(IF('Состав ВТК'!P61="",IF(AND('Состав ВТК'!M61&gt;=Выплаты!$L$8,'Состав ВТК'!L61&lt;=Выплаты!$L$8),ROUND(IF('счеталка премий'!I58&lt;0,0,('Расчет участников НИР'!$H68*'счеталка премий'!P58)),2),0),IF(AND('Состав ВТК'!Q61&gt;=Выплаты!$L$8,'Состав ВТК'!P61&lt;=Выплаты!$L$8),ROUND(IF('счеталка премий'!I58&lt;0,0,('Расчет участников НИР'!$H68*'счеталка премий'!P58)),2),0)),2),0)</f>
        <v>0</v>
      </c>
      <c r="N66" s="310">
        <f>IFERROR(ROUND(IF(M66=0,ROUND(('Расчет участников НИР'!$H68*'счеталка премий'!P58),2)-M66,0),2),0)</f>
        <v>0</v>
      </c>
      <c r="O66" s="310">
        <f t="shared" si="13"/>
        <v>0</v>
      </c>
      <c r="P66" s="306"/>
      <c r="Q66" s="310" t="str">
        <f t="shared" si="9"/>
        <v>0,00</v>
      </c>
      <c r="R66" s="310">
        <f>IFERROR(ROUND(IF('Состав ВТК'!P61="",IF(AND('Состав ВТК'!M61&gt;=Выплаты!$Q$8,'Состав ВТК'!L61&lt;=Выплаты!$Q$8),ROUND(IF('счеталка премий'!J58&lt;0,0,('Расчет участников НИР'!$H68*'счеталка премий'!Q58)),2),0),IF(AND('Состав ВТК'!Q61&gt;=Выплаты!$Q$8,'Состав ВТК'!P61&lt;=Выплаты!$Q$8),ROUND(IF('счеталка премий'!J58&lt;0,0,('Расчет участников НИР'!$H68*'счеталка премий'!Q58)),2),0)),2),0)</f>
        <v>0</v>
      </c>
      <c r="S66" s="310">
        <f>IFERROR(ROUND(IF(R66=0,ROUND(('Расчет участников НИР'!$H68*'счеталка премий'!Q58),2)-R66,0),2),0)</f>
        <v>0</v>
      </c>
      <c r="T66" s="310">
        <f t="shared" si="14"/>
        <v>0</v>
      </c>
      <c r="U66" s="306"/>
      <c r="V66" s="310">
        <f t="shared" si="10"/>
        <v>0</v>
      </c>
      <c r="W66" s="310" t="str">
        <f t="shared" si="11"/>
        <v>0,00</v>
      </c>
      <c r="X66" s="310">
        <f>IFERROR(ROUND(IF('Состав ВТК'!P61="",IF('Состав ВТК'!M61&gt;=Выплаты!$V$8,ROUND(IF('счеталка премий'!K58&lt;0,0,'Расчет участников НИР'!$H68*'счеталка премий'!R58),2),0),IF('Состав ВТК'!Q61&gt;=Выплаты!$V$8,ROUND(IF('счеталка премий'!K58&lt;0,0,'Расчет участников НИР'!$H68*'счеталка премий'!R58),2),0)),2),0)</f>
        <v>0</v>
      </c>
      <c r="Y66" s="310">
        <f>IFERROR(ROUND(IF(OR(IF('Состав ВТК'!L61="",AND('Состав ВТК'!Q61&lt;=Выплаты!$V$8,'Состав ВТК'!P61&lt;Выплаты!$V$8),AND('Состав ВТК'!M61&lt;=Выплаты!$V$8,'Состав ВТК'!$K61=справочник!$A$5)),W66=0),0,$Y$12/(Распределение!$N$11-SUMIF($W$14:$W$114,0,Распределение!$N$13:$N$125))*Распределение!N65),2),"0,00")</f>
        <v>0</v>
      </c>
      <c r="Z66" s="310">
        <f>IFERROR(ROUND(IF(X66=0,ROUND(('Расчет участников НИР'!$H68*'счеталка премий'!R58),2)-X66,0),2),0)</f>
        <v>0</v>
      </c>
      <c r="AA66" s="306"/>
      <c r="AB66" s="309">
        <f t="shared" si="12"/>
        <v>0</v>
      </c>
      <c r="AC66" s="309">
        <f t="shared" si="15"/>
        <v>0</v>
      </c>
      <c r="AE66" s="308"/>
    </row>
    <row r="67" spans="1:31" hidden="1" x14ac:dyDescent="0.25">
      <c r="A67" s="247">
        <v>54</v>
      </c>
      <c r="B67" s="602">
        <f>'Состав ВТК'!$B62</f>
        <v>0</v>
      </c>
      <c r="C67" s="310" t="str">
        <f>IFERROR(VLOOKUP($B67,'Состав ВТК'!$B$9:$I$108,7,FALSE),"-")</f>
        <v>-</v>
      </c>
      <c r="D67" s="310" t="str">
        <f>IFERROR(VLOOKUP($B67,'Состав ВТК'!$B$9:$I$108,8,FALSE),"-")</f>
        <v>-</v>
      </c>
      <c r="E67" s="310">
        <f>ROUND(IF($B67='Расчет участников НИР'!$A69,'Расчет участников НИР'!$M69),2)</f>
        <v>0</v>
      </c>
      <c r="F67" s="310">
        <f>ROUND('Расчет участников НИР'!$H69*50%-$E67,2)</f>
        <v>0</v>
      </c>
      <c r="G67" s="310" t="str">
        <f t="shared" si="5"/>
        <v>0,00</v>
      </c>
      <c r="H67" s="310">
        <f>IFERROR(ROUND(IF('Состав ВТК'!P62="",IF(AND('Состав ВТК'!M62&gt;=Выплаты!$G$8,'Состав ВТК'!L62&lt;=Выплаты!$G$8),ROUND(('Расчет участников НИР'!$H69*'счеталка премий'!O59),2),0),IF(AND('Состав ВТК'!Q62&gt;=Выплаты!$G$8,'Состав ВТК'!P62&lt;=Выплаты!$G$8),ROUND(('Расчет участников НИР'!$H69*'счеталка премий'!O59),2),0)),2),0)</f>
        <v>0</v>
      </c>
      <c r="I67" s="310">
        <f>IFERROR(ROUND(IF(H67=0,ROUND(('Расчет участников НИР'!$H69*'счеталка премий'!O59),2)-H67,0),2),0)</f>
        <v>0</v>
      </c>
      <c r="J67" s="310">
        <f t="shared" si="6"/>
        <v>0</v>
      </c>
      <c r="K67" s="306"/>
      <c r="L67" s="310" t="str">
        <f t="shared" si="7"/>
        <v>0,00</v>
      </c>
      <c r="M67" s="310">
        <f>IFERROR(ROUND(IF('Состав ВТК'!P62="",IF(AND('Состав ВТК'!M62&gt;=Выплаты!$L$8,'Состав ВТК'!L62&lt;=Выплаты!$L$8),ROUND(IF('счеталка премий'!I59&lt;0,0,('Расчет участников НИР'!$H69*'счеталка премий'!P59)),2),0),IF(AND('Состав ВТК'!Q62&gt;=Выплаты!$L$8,'Состав ВТК'!P62&lt;=Выплаты!$L$8),ROUND(IF('счеталка премий'!I59&lt;0,0,('Расчет участников НИР'!$H69*'счеталка премий'!P59)),2),0)),2),0)</f>
        <v>0</v>
      </c>
      <c r="N67" s="310">
        <f>IFERROR(ROUND(IF(M67=0,ROUND(('Расчет участников НИР'!$H69*'счеталка премий'!P59),2)-M67,0),2),0)</f>
        <v>0</v>
      </c>
      <c r="O67" s="310">
        <f t="shared" si="13"/>
        <v>0</v>
      </c>
      <c r="P67" s="306"/>
      <c r="Q67" s="310" t="str">
        <f t="shared" si="9"/>
        <v>0,00</v>
      </c>
      <c r="R67" s="310">
        <f>IFERROR(ROUND(IF('Состав ВТК'!P62="",IF(AND('Состав ВТК'!M62&gt;=Выплаты!$Q$8,'Состав ВТК'!L62&lt;=Выплаты!$Q$8),ROUND(IF('счеталка премий'!J59&lt;0,0,('Расчет участников НИР'!$H69*'счеталка премий'!Q59)),2),0),IF(AND('Состав ВТК'!Q62&gt;=Выплаты!$Q$8,'Состав ВТК'!P62&lt;=Выплаты!$Q$8),ROUND(IF('счеталка премий'!J59&lt;0,0,('Расчет участников НИР'!$H69*'счеталка премий'!Q59)),2),0)),2),0)</f>
        <v>0</v>
      </c>
      <c r="S67" s="310">
        <f>IFERROR(ROUND(IF(R67=0,ROUND(('Расчет участников НИР'!$H69*'счеталка премий'!Q59),2)-R67,0),2),0)</f>
        <v>0</v>
      </c>
      <c r="T67" s="310">
        <f t="shared" si="14"/>
        <v>0</v>
      </c>
      <c r="U67" s="306"/>
      <c r="V67" s="310">
        <f t="shared" si="10"/>
        <v>0</v>
      </c>
      <c r="W67" s="310" t="str">
        <f t="shared" si="11"/>
        <v>0,00</v>
      </c>
      <c r="X67" s="310">
        <f>IFERROR(ROUND(IF('Состав ВТК'!P62="",IF('Состав ВТК'!M62&gt;=Выплаты!$V$8,ROUND(IF('счеталка премий'!K59&lt;0,0,'Расчет участников НИР'!$H69*'счеталка премий'!R59),2),0),IF('Состав ВТК'!Q62&gt;=Выплаты!$V$8,ROUND(IF('счеталка премий'!K59&lt;0,0,'Расчет участников НИР'!$H69*'счеталка премий'!R59),2),0)),2),0)</f>
        <v>0</v>
      </c>
      <c r="Y67" s="310">
        <f>IFERROR(ROUND(IF(OR(IF('Состав ВТК'!L62="",AND('Состав ВТК'!Q62&lt;=Выплаты!$V$8,'Состав ВТК'!P62&lt;Выплаты!$V$8),AND('Состав ВТК'!M62&lt;=Выплаты!$V$8,'Состав ВТК'!$K62=справочник!$A$5)),W67=0),0,$Y$12/(Распределение!$N$11-SUMIF($W$14:$W$114,0,Распределение!$N$13:$N$125))*Распределение!N66),2),"0,00")</f>
        <v>0</v>
      </c>
      <c r="Z67" s="310">
        <f>IFERROR(ROUND(IF(X67=0,ROUND(('Расчет участников НИР'!$H69*'счеталка премий'!R59),2)-X67,0),2),0)</f>
        <v>0</v>
      </c>
      <c r="AA67" s="306"/>
      <c r="AB67" s="309">
        <f t="shared" si="12"/>
        <v>0</v>
      </c>
      <c r="AC67" s="309">
        <f t="shared" si="15"/>
        <v>0</v>
      </c>
      <c r="AE67" s="308"/>
    </row>
    <row r="68" spans="1:31" hidden="1" x14ac:dyDescent="0.25">
      <c r="A68" s="247">
        <v>55</v>
      </c>
      <c r="B68" s="602">
        <f>'Состав ВТК'!$B63</f>
        <v>0</v>
      </c>
      <c r="C68" s="310" t="str">
        <f>IFERROR(VLOOKUP($B68,'Состав ВТК'!$B$9:$I$108,7,FALSE),"-")</f>
        <v>-</v>
      </c>
      <c r="D68" s="310" t="str">
        <f>IFERROR(VLOOKUP($B68,'Состав ВТК'!$B$9:$I$108,8,FALSE),"-")</f>
        <v>-</v>
      </c>
      <c r="E68" s="310">
        <f>ROUND(IF($B68='Расчет участников НИР'!$A70,'Расчет участников НИР'!$M70),2)</f>
        <v>0</v>
      </c>
      <c r="F68" s="310">
        <f>ROUND('Расчет участников НИР'!$H70*50%-$E68,2)</f>
        <v>0</v>
      </c>
      <c r="G68" s="310" t="str">
        <f t="shared" si="5"/>
        <v>0,00</v>
      </c>
      <c r="H68" s="310">
        <f>IFERROR(ROUND(IF('Состав ВТК'!P63="",IF(AND('Состав ВТК'!M63&gt;=Выплаты!$G$8,'Состав ВТК'!L63&lt;=Выплаты!$G$8),ROUND(('Расчет участников НИР'!$H70*'счеталка премий'!O60),2),0),IF(AND('Состав ВТК'!Q63&gt;=Выплаты!$G$8,'Состав ВТК'!P63&lt;=Выплаты!$G$8),ROUND(('Расчет участников НИР'!$H70*'счеталка премий'!O60),2),0)),2),0)</f>
        <v>0</v>
      </c>
      <c r="I68" s="310">
        <f>IFERROR(ROUND(IF(H68=0,ROUND(('Расчет участников НИР'!$H70*'счеталка премий'!O60),2)-H68,0),2),0)</f>
        <v>0</v>
      </c>
      <c r="J68" s="310">
        <f t="shared" si="6"/>
        <v>0</v>
      </c>
      <c r="K68" s="306"/>
      <c r="L68" s="310" t="str">
        <f t="shared" si="7"/>
        <v>0,00</v>
      </c>
      <c r="M68" s="310">
        <f>IFERROR(ROUND(IF('Состав ВТК'!P63="",IF(AND('Состав ВТК'!M63&gt;=Выплаты!$L$8,'Состав ВТК'!L63&lt;=Выплаты!$L$8),ROUND(IF('счеталка премий'!I60&lt;0,0,('Расчет участников НИР'!$H70*'счеталка премий'!P60)),2),0),IF(AND('Состав ВТК'!Q63&gt;=Выплаты!$L$8,'Состав ВТК'!P63&lt;=Выплаты!$L$8),ROUND(IF('счеталка премий'!I60&lt;0,0,('Расчет участников НИР'!$H70*'счеталка премий'!P60)),2),0)),2),0)</f>
        <v>0</v>
      </c>
      <c r="N68" s="310">
        <f>IFERROR(ROUND(IF(M68=0,ROUND(('Расчет участников НИР'!$H70*'счеталка премий'!P60),2)-M68,0),2),0)</f>
        <v>0</v>
      </c>
      <c r="O68" s="310">
        <f t="shared" si="13"/>
        <v>0</v>
      </c>
      <c r="P68" s="306"/>
      <c r="Q68" s="310" t="str">
        <f t="shared" si="9"/>
        <v>0,00</v>
      </c>
      <c r="R68" s="310">
        <f>IFERROR(ROUND(IF('Состав ВТК'!P63="",IF(AND('Состав ВТК'!M63&gt;=Выплаты!$Q$8,'Состав ВТК'!L63&lt;=Выплаты!$Q$8),ROUND(IF('счеталка премий'!J60&lt;0,0,('Расчет участников НИР'!$H70*'счеталка премий'!Q60)),2),0),IF(AND('Состав ВТК'!Q63&gt;=Выплаты!$Q$8,'Состав ВТК'!P63&lt;=Выплаты!$Q$8),ROUND(IF('счеталка премий'!J60&lt;0,0,('Расчет участников НИР'!$H70*'счеталка премий'!Q60)),2),0)),2),0)</f>
        <v>0</v>
      </c>
      <c r="S68" s="310">
        <f>IFERROR(ROUND(IF(R68=0,ROUND(('Расчет участников НИР'!$H70*'счеталка премий'!Q60),2)-R68,0),2),0)</f>
        <v>0</v>
      </c>
      <c r="T68" s="310">
        <f t="shared" si="14"/>
        <v>0</v>
      </c>
      <c r="U68" s="306"/>
      <c r="V68" s="310">
        <f t="shared" si="10"/>
        <v>0</v>
      </c>
      <c r="W68" s="310" t="str">
        <f t="shared" si="11"/>
        <v>0,00</v>
      </c>
      <c r="X68" s="310">
        <f>IFERROR(ROUND(IF('Состав ВТК'!P63="",IF('Состав ВТК'!M63&gt;=Выплаты!$V$8,ROUND(IF('счеталка премий'!K60&lt;0,0,'Расчет участников НИР'!$H70*'счеталка премий'!R60),2),0),IF('Состав ВТК'!Q63&gt;=Выплаты!$V$8,ROUND(IF('счеталка премий'!K60&lt;0,0,'Расчет участников НИР'!$H70*'счеталка премий'!R60),2),0)),2),0)</f>
        <v>0</v>
      </c>
      <c r="Y68" s="310">
        <f>IFERROR(ROUND(IF(OR(IF('Состав ВТК'!L63="",AND('Состав ВТК'!Q63&lt;=Выплаты!$V$8,'Состав ВТК'!P63&lt;Выплаты!$V$8),AND('Состав ВТК'!M63&lt;=Выплаты!$V$8,'Состав ВТК'!$K63=справочник!$A$5)),W68=0),0,$Y$12/(Распределение!$N$11-SUMIF($W$14:$W$114,0,Распределение!$N$13:$N$125))*Распределение!N67),2),"0,00")</f>
        <v>0</v>
      </c>
      <c r="Z68" s="310">
        <f>IFERROR(ROUND(IF(X68=0,ROUND(('Расчет участников НИР'!$H70*'счеталка премий'!R60),2)-X68,0),2),0)</f>
        <v>0</v>
      </c>
      <c r="AA68" s="306"/>
      <c r="AB68" s="309">
        <f t="shared" si="12"/>
        <v>0</v>
      </c>
      <c r="AC68" s="309">
        <f t="shared" si="15"/>
        <v>0</v>
      </c>
      <c r="AE68" s="308"/>
    </row>
    <row r="69" spans="1:31" hidden="1" x14ac:dyDescent="0.25">
      <c r="A69" s="247">
        <v>56</v>
      </c>
      <c r="B69" s="602">
        <f>'Состав ВТК'!$B64</f>
        <v>0</v>
      </c>
      <c r="C69" s="310" t="str">
        <f>IFERROR(VLOOKUP($B69,'Состав ВТК'!$B$9:$I$108,7,FALSE),"-")</f>
        <v>-</v>
      </c>
      <c r="D69" s="310" t="str">
        <f>IFERROR(VLOOKUP($B69,'Состав ВТК'!$B$9:$I$108,8,FALSE),"-")</f>
        <v>-</v>
      </c>
      <c r="E69" s="310">
        <f>ROUND(IF($B69='Расчет участников НИР'!$A71,'Расчет участников НИР'!$M71),2)</f>
        <v>0</v>
      </c>
      <c r="F69" s="310">
        <f>ROUND('Расчет участников НИР'!$H71*50%-$E69,2)</f>
        <v>0</v>
      </c>
      <c r="G69" s="310" t="str">
        <f t="shared" si="5"/>
        <v>0,00</v>
      </c>
      <c r="H69" s="310">
        <f>IFERROR(ROUND(IF('Состав ВТК'!P64="",IF(AND('Состав ВТК'!M64&gt;=Выплаты!$G$8,'Состав ВТК'!L64&lt;=Выплаты!$G$8),ROUND(('Расчет участников НИР'!$H71*'счеталка премий'!O61),2),0),IF(AND('Состав ВТК'!Q64&gt;=Выплаты!$G$8,'Состав ВТК'!P64&lt;=Выплаты!$G$8),ROUND(('Расчет участников НИР'!$H71*'счеталка премий'!O61),2),0)),2),0)</f>
        <v>0</v>
      </c>
      <c r="I69" s="310">
        <f>IFERROR(ROUND(IF(H69=0,ROUND(('Расчет участников НИР'!$H71*'счеталка премий'!O61),2)-H69,0),2),0)</f>
        <v>0</v>
      </c>
      <c r="J69" s="310">
        <f t="shared" si="6"/>
        <v>0</v>
      </c>
      <c r="K69" s="306"/>
      <c r="L69" s="310" t="str">
        <f t="shared" si="7"/>
        <v>0,00</v>
      </c>
      <c r="M69" s="310">
        <f>IFERROR(ROUND(IF('Состав ВТК'!P64="",IF(AND('Состав ВТК'!M64&gt;=Выплаты!$L$8,'Состав ВТК'!L64&lt;=Выплаты!$L$8),ROUND(IF('счеталка премий'!I61&lt;0,0,('Расчет участников НИР'!$H71*'счеталка премий'!P61)),2),0),IF(AND('Состав ВТК'!Q64&gt;=Выплаты!$L$8,'Состав ВТК'!P64&lt;=Выплаты!$L$8),ROUND(IF('счеталка премий'!I61&lt;0,0,('Расчет участников НИР'!$H71*'счеталка премий'!P61)),2),0)),2),0)</f>
        <v>0</v>
      </c>
      <c r="N69" s="310">
        <f>IFERROR(ROUND(IF(M69=0,ROUND(('Расчет участников НИР'!$H71*'счеталка премий'!P61),2)-M69,0),2),0)</f>
        <v>0</v>
      </c>
      <c r="O69" s="310">
        <f t="shared" si="13"/>
        <v>0</v>
      </c>
      <c r="P69" s="306"/>
      <c r="Q69" s="310" t="str">
        <f t="shared" si="9"/>
        <v>0,00</v>
      </c>
      <c r="R69" s="310">
        <f>IFERROR(ROUND(IF('Состав ВТК'!P64="",IF(AND('Состав ВТК'!M64&gt;=Выплаты!$Q$8,'Состав ВТК'!L64&lt;=Выплаты!$Q$8),ROUND(IF('счеталка премий'!J61&lt;0,0,('Расчет участников НИР'!$H71*'счеталка премий'!Q61)),2),0),IF(AND('Состав ВТК'!Q64&gt;=Выплаты!$Q$8,'Состав ВТК'!P64&lt;=Выплаты!$Q$8),ROUND(IF('счеталка премий'!J61&lt;0,0,('Расчет участников НИР'!$H71*'счеталка премий'!Q61)),2),0)),2),0)</f>
        <v>0</v>
      </c>
      <c r="S69" s="310">
        <f>IFERROR(ROUND(IF(R69=0,ROUND(('Расчет участников НИР'!$H71*'счеталка премий'!Q61),2)-R69,0),2),0)</f>
        <v>0</v>
      </c>
      <c r="T69" s="310">
        <f t="shared" si="14"/>
        <v>0</v>
      </c>
      <c r="U69" s="306"/>
      <c r="V69" s="310">
        <f t="shared" si="10"/>
        <v>0</v>
      </c>
      <c r="W69" s="310" t="str">
        <f t="shared" si="11"/>
        <v>0,00</v>
      </c>
      <c r="X69" s="310">
        <f>IFERROR(ROUND(IF('Состав ВТК'!P64="",IF('Состав ВТК'!M64&gt;=Выплаты!$V$8,ROUND(IF('счеталка премий'!K61&lt;0,0,'Расчет участников НИР'!$H71*'счеталка премий'!R61),2),0),IF('Состав ВТК'!Q64&gt;=Выплаты!$V$8,ROUND(IF('счеталка премий'!K61&lt;0,0,'Расчет участников НИР'!$H71*'счеталка премий'!R61),2),0)),2),0)</f>
        <v>0</v>
      </c>
      <c r="Y69" s="310">
        <f>IFERROR(ROUND(IF(OR(IF('Состав ВТК'!L64="",AND('Состав ВТК'!Q64&lt;=Выплаты!$V$8,'Состав ВТК'!P64&lt;Выплаты!$V$8),AND('Состав ВТК'!M64&lt;=Выплаты!$V$8,'Состав ВТК'!$K64=справочник!$A$5)),W69=0),0,$Y$12/(Распределение!$N$11-SUMIF($W$14:$W$114,0,Распределение!$N$13:$N$125))*Распределение!N68),2),"0,00")</f>
        <v>0</v>
      </c>
      <c r="Z69" s="310">
        <f>IFERROR(ROUND(IF(X69=0,ROUND(('Расчет участников НИР'!$H71*'счеталка премий'!R61),2)-X69,0),2),0)</f>
        <v>0</v>
      </c>
      <c r="AA69" s="306"/>
      <c r="AB69" s="309">
        <f t="shared" si="12"/>
        <v>0</v>
      </c>
      <c r="AC69" s="309">
        <f t="shared" si="15"/>
        <v>0</v>
      </c>
      <c r="AE69" s="308"/>
    </row>
    <row r="70" spans="1:31" hidden="1" x14ac:dyDescent="0.25">
      <c r="A70" s="247">
        <v>57</v>
      </c>
      <c r="B70" s="602">
        <f>'Состав ВТК'!$B65</f>
        <v>0</v>
      </c>
      <c r="C70" s="310" t="str">
        <f>IFERROR(VLOOKUP($B70,'Состав ВТК'!$B$9:$I$108,7,FALSE),"-")</f>
        <v>-</v>
      </c>
      <c r="D70" s="310" t="str">
        <f>IFERROR(VLOOKUP($B70,'Состав ВТК'!$B$9:$I$108,8,FALSE),"-")</f>
        <v>-</v>
      </c>
      <c r="E70" s="310">
        <f>ROUND(IF($B70='Расчет участников НИР'!$A72,'Расчет участников НИР'!$M72),2)</f>
        <v>0</v>
      </c>
      <c r="F70" s="310">
        <f>ROUND('Расчет участников НИР'!$H72*50%-$E70,2)</f>
        <v>0</v>
      </c>
      <c r="G70" s="310" t="str">
        <f t="shared" si="5"/>
        <v>0,00</v>
      </c>
      <c r="H70" s="310">
        <f>IFERROR(ROUND(IF('Состав ВТК'!P65="",IF(AND('Состав ВТК'!M65&gt;=Выплаты!$G$8,'Состав ВТК'!L65&lt;=Выплаты!$G$8),ROUND(('Расчет участников НИР'!$H72*'счеталка премий'!O62),2),0),IF(AND('Состав ВТК'!Q65&gt;=Выплаты!$G$8,'Состав ВТК'!P65&lt;=Выплаты!$G$8),ROUND(('Расчет участников НИР'!$H72*'счеталка премий'!O62),2),0)),2),0)</f>
        <v>0</v>
      </c>
      <c r="I70" s="310">
        <f>IFERROR(ROUND(IF(H70=0,ROUND(('Расчет участников НИР'!$H72*'счеталка премий'!O62),2)-H70,0),2),0)</f>
        <v>0</v>
      </c>
      <c r="J70" s="310">
        <f t="shared" si="6"/>
        <v>0</v>
      </c>
      <c r="K70" s="306"/>
      <c r="L70" s="310" t="str">
        <f t="shared" si="7"/>
        <v>0,00</v>
      </c>
      <c r="M70" s="310">
        <f>IFERROR(ROUND(IF('Состав ВТК'!P65="",IF(AND('Состав ВТК'!M65&gt;=Выплаты!$L$8,'Состав ВТК'!L65&lt;=Выплаты!$L$8),ROUND(IF('счеталка премий'!I62&lt;0,0,('Расчет участников НИР'!$H72*'счеталка премий'!P62)),2),0),IF(AND('Состав ВТК'!Q65&gt;=Выплаты!$L$8,'Состав ВТК'!P65&lt;=Выплаты!$L$8),ROUND(IF('счеталка премий'!I62&lt;0,0,('Расчет участников НИР'!$H72*'счеталка премий'!P62)),2),0)),2),0)</f>
        <v>0</v>
      </c>
      <c r="N70" s="310">
        <f>IFERROR(ROUND(IF(M70=0,ROUND(('Расчет участников НИР'!$H72*'счеталка премий'!P62),2)-M70,0),2),0)</f>
        <v>0</v>
      </c>
      <c r="O70" s="310">
        <f t="shared" si="13"/>
        <v>0</v>
      </c>
      <c r="P70" s="306"/>
      <c r="Q70" s="310" t="str">
        <f t="shared" si="9"/>
        <v>0,00</v>
      </c>
      <c r="R70" s="310">
        <f>IFERROR(ROUND(IF('Состав ВТК'!P65="",IF(AND('Состав ВТК'!M65&gt;=Выплаты!$Q$8,'Состав ВТК'!L65&lt;=Выплаты!$Q$8),ROUND(IF('счеталка премий'!J62&lt;0,0,('Расчет участников НИР'!$H72*'счеталка премий'!Q62)),2),0),IF(AND('Состав ВТК'!Q65&gt;=Выплаты!$Q$8,'Состав ВТК'!P65&lt;=Выплаты!$Q$8),ROUND(IF('счеталка премий'!J62&lt;0,0,('Расчет участников НИР'!$H72*'счеталка премий'!Q62)),2),0)),2),0)</f>
        <v>0</v>
      </c>
      <c r="S70" s="310">
        <f>IFERROR(ROUND(IF(R70=0,ROUND(('Расчет участников НИР'!$H72*'счеталка премий'!Q62),2)-R70,0),2),0)</f>
        <v>0</v>
      </c>
      <c r="T70" s="310">
        <f t="shared" si="14"/>
        <v>0</v>
      </c>
      <c r="U70" s="306"/>
      <c r="V70" s="310">
        <f t="shared" si="10"/>
        <v>0</v>
      </c>
      <c r="W70" s="310" t="str">
        <f t="shared" si="11"/>
        <v>0,00</v>
      </c>
      <c r="X70" s="310">
        <f>IFERROR(ROUND(IF('Состав ВТК'!P65="",IF('Состав ВТК'!M65&gt;=Выплаты!$V$8,ROUND(IF('счеталка премий'!K62&lt;0,0,'Расчет участников НИР'!$H72*'счеталка премий'!R62),2),0),IF('Состав ВТК'!Q65&gt;=Выплаты!$V$8,ROUND(IF('счеталка премий'!K62&lt;0,0,'Расчет участников НИР'!$H72*'счеталка премий'!R62),2),0)),2),0)</f>
        <v>0</v>
      </c>
      <c r="Y70" s="310">
        <f>IFERROR(ROUND(IF(OR(IF('Состав ВТК'!L65="",AND('Состав ВТК'!Q65&lt;=Выплаты!$V$8,'Состав ВТК'!P65&lt;Выплаты!$V$8),AND('Состав ВТК'!M65&lt;=Выплаты!$V$8,'Состав ВТК'!$K65=справочник!$A$5)),W70=0),0,$Y$12/(Распределение!$N$11-SUMIF($W$14:$W$114,0,Распределение!$N$13:$N$125))*Распределение!N69),2),"0,00")</f>
        <v>0</v>
      </c>
      <c r="Z70" s="310">
        <f>IFERROR(ROUND(IF(X70=0,ROUND(('Расчет участников НИР'!$H72*'счеталка премий'!R62),2)-X70,0),2),0)</f>
        <v>0</v>
      </c>
      <c r="AA70" s="306"/>
      <c r="AB70" s="309">
        <f t="shared" si="12"/>
        <v>0</v>
      </c>
      <c r="AC70" s="309">
        <f t="shared" si="15"/>
        <v>0</v>
      </c>
      <c r="AE70" s="308"/>
    </row>
    <row r="71" spans="1:31" hidden="1" x14ac:dyDescent="0.25">
      <c r="A71" s="247">
        <v>58</v>
      </c>
      <c r="B71" s="602">
        <f>'Состав ВТК'!$B66</f>
        <v>0</v>
      </c>
      <c r="C71" s="310" t="str">
        <f>IFERROR(VLOOKUP($B71,'Состав ВТК'!$B$9:$I$108,7,FALSE),"-")</f>
        <v>-</v>
      </c>
      <c r="D71" s="310" t="str">
        <f>IFERROR(VLOOKUP($B71,'Состав ВТК'!$B$9:$I$108,8,FALSE),"-")</f>
        <v>-</v>
      </c>
      <c r="E71" s="310">
        <f>ROUND(IF($B71='Расчет участников НИР'!$A73,'Расчет участников НИР'!$M73),2)</f>
        <v>0</v>
      </c>
      <c r="F71" s="310">
        <f>ROUND('Расчет участников НИР'!$H73*50%-$E71,2)</f>
        <v>0</v>
      </c>
      <c r="G71" s="310" t="str">
        <f t="shared" si="5"/>
        <v>0,00</v>
      </c>
      <c r="H71" s="310">
        <f>IFERROR(ROUND(IF('Состав ВТК'!P66="",IF(AND('Состав ВТК'!M66&gt;=Выплаты!$G$8,'Состав ВТК'!L66&lt;=Выплаты!$G$8),ROUND(('Расчет участников НИР'!$H73*'счеталка премий'!O63),2),0),IF(AND('Состав ВТК'!Q66&gt;=Выплаты!$G$8,'Состав ВТК'!P66&lt;=Выплаты!$G$8),ROUND(('Расчет участников НИР'!$H73*'счеталка премий'!O63),2),0)),2),0)</f>
        <v>0</v>
      </c>
      <c r="I71" s="310">
        <f>IFERROR(ROUND(IF(H71=0,ROUND(('Расчет участников НИР'!$H73*'счеталка премий'!O63),2)-H71,0),2),0)</f>
        <v>0</v>
      </c>
      <c r="J71" s="310">
        <f t="shared" si="6"/>
        <v>0</v>
      </c>
      <c r="K71" s="306"/>
      <c r="L71" s="310" t="str">
        <f t="shared" si="7"/>
        <v>0,00</v>
      </c>
      <c r="M71" s="310">
        <f>IFERROR(ROUND(IF('Состав ВТК'!P66="",IF(AND('Состав ВТК'!M66&gt;=Выплаты!$L$8,'Состав ВТК'!L66&lt;=Выплаты!$L$8),ROUND(IF('счеталка премий'!I63&lt;0,0,('Расчет участников НИР'!$H73*'счеталка премий'!P63)),2),0),IF(AND('Состав ВТК'!Q66&gt;=Выплаты!$L$8,'Состав ВТК'!P66&lt;=Выплаты!$L$8),ROUND(IF('счеталка премий'!I63&lt;0,0,('Расчет участников НИР'!$H73*'счеталка премий'!P63)),2),0)),2),0)</f>
        <v>0</v>
      </c>
      <c r="N71" s="310">
        <f>IFERROR(ROUND(IF(M71=0,ROUND(('Расчет участников НИР'!$H73*'счеталка премий'!P63),2)-M71,0),2),0)</f>
        <v>0</v>
      </c>
      <c r="O71" s="310">
        <f t="shared" si="13"/>
        <v>0</v>
      </c>
      <c r="P71" s="306"/>
      <c r="Q71" s="310" t="str">
        <f t="shared" si="9"/>
        <v>0,00</v>
      </c>
      <c r="R71" s="310">
        <f>IFERROR(ROUND(IF('Состав ВТК'!P66="",IF(AND('Состав ВТК'!M66&gt;=Выплаты!$Q$8,'Состав ВТК'!L66&lt;=Выплаты!$Q$8),ROUND(IF('счеталка премий'!J63&lt;0,0,('Расчет участников НИР'!$H73*'счеталка премий'!Q63)),2),0),IF(AND('Состав ВТК'!Q66&gt;=Выплаты!$Q$8,'Состав ВТК'!P66&lt;=Выплаты!$Q$8),ROUND(IF('счеталка премий'!J63&lt;0,0,('Расчет участников НИР'!$H73*'счеталка премий'!Q63)),2),0)),2),0)</f>
        <v>0</v>
      </c>
      <c r="S71" s="310">
        <f>IFERROR(ROUND(IF(R71=0,ROUND(('Расчет участников НИР'!$H73*'счеталка премий'!Q63),2)-R71,0),2),0)</f>
        <v>0</v>
      </c>
      <c r="T71" s="310">
        <f t="shared" si="14"/>
        <v>0</v>
      </c>
      <c r="U71" s="306"/>
      <c r="V71" s="310">
        <f t="shared" si="10"/>
        <v>0</v>
      </c>
      <c r="W71" s="310" t="str">
        <f t="shared" si="11"/>
        <v>0,00</v>
      </c>
      <c r="X71" s="310">
        <f>IFERROR(ROUND(IF('Состав ВТК'!P66="",IF('Состав ВТК'!M66&gt;=Выплаты!$V$8,ROUND(IF('счеталка премий'!K63&lt;0,0,'Расчет участников НИР'!$H73*'счеталка премий'!R63),2),0),IF('Состав ВТК'!Q66&gt;=Выплаты!$V$8,ROUND(IF('счеталка премий'!K63&lt;0,0,'Расчет участников НИР'!$H73*'счеталка премий'!R63),2),0)),2),0)</f>
        <v>0</v>
      </c>
      <c r="Y71" s="310">
        <f>IFERROR(ROUND(IF(OR(IF('Состав ВТК'!L66="",AND('Состав ВТК'!Q66&lt;=Выплаты!$V$8,'Состав ВТК'!P66&lt;Выплаты!$V$8),AND('Состав ВТК'!M66&lt;=Выплаты!$V$8,'Состав ВТК'!$K66=справочник!$A$5)),W71=0),0,$Y$12/(Распределение!$N$11-SUMIF($W$14:$W$114,0,Распределение!$N$13:$N$125))*Распределение!N70),2),"0,00")</f>
        <v>0</v>
      </c>
      <c r="Z71" s="310">
        <f>IFERROR(ROUND(IF(X71=0,ROUND(('Расчет участников НИР'!$H73*'счеталка премий'!R63),2)-X71,0),2),0)</f>
        <v>0</v>
      </c>
      <c r="AA71" s="306"/>
      <c r="AB71" s="309">
        <f t="shared" si="12"/>
        <v>0</v>
      </c>
      <c r="AC71" s="309">
        <f t="shared" si="15"/>
        <v>0</v>
      </c>
      <c r="AE71" s="308"/>
    </row>
    <row r="72" spans="1:31" hidden="1" x14ac:dyDescent="0.25">
      <c r="A72" s="247">
        <v>59</v>
      </c>
      <c r="B72" s="602">
        <f>'Состав ВТК'!$B67</f>
        <v>0</v>
      </c>
      <c r="C72" s="310" t="str">
        <f>IFERROR(VLOOKUP($B72,'Состав ВТК'!$B$9:$I$108,7,FALSE),"-")</f>
        <v>-</v>
      </c>
      <c r="D72" s="310" t="str">
        <f>IFERROR(VLOOKUP($B72,'Состав ВТК'!$B$9:$I$108,8,FALSE),"-")</f>
        <v>-</v>
      </c>
      <c r="E72" s="310">
        <f>ROUND(IF($B72='Расчет участников НИР'!$A74,'Расчет участников НИР'!$M74),2)</f>
        <v>0</v>
      </c>
      <c r="F72" s="310">
        <f>ROUND('Расчет участников НИР'!$H74*50%-$E72,2)</f>
        <v>0</v>
      </c>
      <c r="G72" s="310" t="str">
        <f t="shared" si="5"/>
        <v>0,00</v>
      </c>
      <c r="H72" s="310">
        <f>IFERROR(ROUND(IF('Состав ВТК'!P67="",IF(AND('Состав ВТК'!M67&gt;=Выплаты!$G$8,'Состав ВТК'!L67&lt;=Выплаты!$G$8),ROUND(('Расчет участников НИР'!$H74*'счеталка премий'!O64),2),0),IF(AND('Состав ВТК'!Q67&gt;=Выплаты!$G$8,'Состав ВТК'!P67&lt;=Выплаты!$G$8),ROUND(('Расчет участников НИР'!$H74*'счеталка премий'!O64),2),0)),2),0)</f>
        <v>0</v>
      </c>
      <c r="I72" s="310">
        <f>IFERROR(ROUND(IF(H72=0,ROUND(('Расчет участников НИР'!$H74*'счеталка премий'!O64),2)-H72,0),2),0)</f>
        <v>0</v>
      </c>
      <c r="J72" s="310">
        <f t="shared" si="6"/>
        <v>0</v>
      </c>
      <c r="K72" s="306"/>
      <c r="L72" s="310" t="str">
        <f t="shared" si="7"/>
        <v>0,00</v>
      </c>
      <c r="M72" s="310">
        <f>IFERROR(ROUND(IF('Состав ВТК'!P67="",IF(AND('Состав ВТК'!M67&gt;=Выплаты!$L$8,'Состав ВТК'!L67&lt;=Выплаты!$L$8),ROUND(IF('счеталка премий'!I64&lt;0,0,('Расчет участников НИР'!$H74*'счеталка премий'!P64)),2),0),IF(AND('Состав ВТК'!Q67&gt;=Выплаты!$L$8,'Состав ВТК'!P67&lt;=Выплаты!$L$8),ROUND(IF('счеталка премий'!I64&lt;0,0,('Расчет участников НИР'!$H74*'счеталка премий'!P64)),2),0)),2),0)</f>
        <v>0</v>
      </c>
      <c r="N72" s="310">
        <f>IFERROR(ROUND(IF(M72=0,ROUND(('Расчет участников НИР'!$H74*'счеталка премий'!P64),2)-M72,0),2),0)</f>
        <v>0</v>
      </c>
      <c r="O72" s="310">
        <f t="shared" si="13"/>
        <v>0</v>
      </c>
      <c r="P72" s="306"/>
      <c r="Q72" s="310" t="str">
        <f t="shared" si="9"/>
        <v>0,00</v>
      </c>
      <c r="R72" s="310">
        <f>IFERROR(ROUND(IF('Состав ВТК'!P67="",IF(AND('Состав ВТК'!M67&gt;=Выплаты!$Q$8,'Состав ВТК'!L67&lt;=Выплаты!$Q$8),ROUND(IF('счеталка премий'!J64&lt;0,0,('Расчет участников НИР'!$H74*'счеталка премий'!Q64)),2),0),IF(AND('Состав ВТК'!Q67&gt;=Выплаты!$Q$8,'Состав ВТК'!P67&lt;=Выплаты!$Q$8),ROUND(IF('счеталка премий'!J64&lt;0,0,('Расчет участников НИР'!$H74*'счеталка премий'!Q64)),2),0)),2),0)</f>
        <v>0</v>
      </c>
      <c r="S72" s="310">
        <f>IFERROR(ROUND(IF(R72=0,ROUND(('Расчет участников НИР'!$H74*'счеталка премий'!Q64),2)-R72,0),2),0)</f>
        <v>0</v>
      </c>
      <c r="T72" s="310">
        <f t="shared" si="14"/>
        <v>0</v>
      </c>
      <c r="U72" s="306"/>
      <c r="V72" s="310">
        <f t="shared" si="10"/>
        <v>0</v>
      </c>
      <c r="W72" s="310" t="str">
        <f t="shared" si="11"/>
        <v>0,00</v>
      </c>
      <c r="X72" s="310">
        <f>IFERROR(ROUND(IF('Состав ВТК'!P67="",IF('Состав ВТК'!M67&gt;=Выплаты!$V$8,ROUND(IF('счеталка премий'!K64&lt;0,0,'Расчет участников НИР'!$H74*'счеталка премий'!R64),2),0),IF('Состав ВТК'!Q67&gt;=Выплаты!$V$8,ROUND(IF('счеталка премий'!K64&lt;0,0,'Расчет участников НИР'!$H74*'счеталка премий'!R64),2),0)),2),0)</f>
        <v>0</v>
      </c>
      <c r="Y72" s="310">
        <f>IFERROR(ROUND(IF(OR(IF('Состав ВТК'!L67="",AND('Состав ВТК'!Q67&lt;=Выплаты!$V$8,'Состав ВТК'!P67&lt;Выплаты!$V$8),AND('Состав ВТК'!M67&lt;=Выплаты!$V$8,'Состав ВТК'!$K67=справочник!$A$5)),W72=0),0,$Y$12/(Распределение!$N$11-SUMIF($W$14:$W$114,0,Распределение!$N$13:$N$125))*Распределение!N71),2),"0,00")</f>
        <v>0</v>
      </c>
      <c r="Z72" s="310">
        <f>IFERROR(ROUND(IF(X72=0,ROUND(('Расчет участников НИР'!$H74*'счеталка премий'!R64),2)-X72,0),2),0)</f>
        <v>0</v>
      </c>
      <c r="AA72" s="306"/>
      <c r="AB72" s="309">
        <f t="shared" si="12"/>
        <v>0</v>
      </c>
      <c r="AC72" s="309">
        <f t="shared" si="15"/>
        <v>0</v>
      </c>
      <c r="AE72" s="308"/>
    </row>
    <row r="73" spans="1:31" hidden="1" x14ac:dyDescent="0.25">
      <c r="A73" s="247">
        <v>60</v>
      </c>
      <c r="B73" s="602">
        <f>'Состав ВТК'!$B68</f>
        <v>0</v>
      </c>
      <c r="C73" s="310" t="str">
        <f>IFERROR(VLOOKUP($B73,'Состав ВТК'!$B$9:$I$108,7,FALSE),"-")</f>
        <v>-</v>
      </c>
      <c r="D73" s="310" t="str">
        <f>IFERROR(VLOOKUP($B73,'Состав ВТК'!$B$9:$I$108,8,FALSE),"-")</f>
        <v>-</v>
      </c>
      <c r="E73" s="310">
        <f>ROUND(IF($B73='Расчет участников НИР'!$A75,'Расчет участников НИР'!$M75),2)</f>
        <v>0</v>
      </c>
      <c r="F73" s="310">
        <f>ROUND('Расчет участников НИР'!$H75*50%-$E73,2)</f>
        <v>0</v>
      </c>
      <c r="G73" s="310" t="str">
        <f t="shared" si="5"/>
        <v>0,00</v>
      </c>
      <c r="H73" s="310">
        <f>IFERROR(ROUND(IF('Состав ВТК'!P68="",IF(AND('Состав ВТК'!M68&gt;=Выплаты!$G$8,'Состав ВТК'!L68&lt;=Выплаты!$G$8),ROUND(('Расчет участников НИР'!$H75*'счеталка премий'!O65),2),0),IF(AND('Состав ВТК'!Q68&gt;=Выплаты!$G$8,'Состав ВТК'!P68&lt;=Выплаты!$G$8),ROUND(('Расчет участников НИР'!$H75*'счеталка премий'!O65),2),0)),2),0)</f>
        <v>0</v>
      </c>
      <c r="I73" s="310">
        <f>IFERROR(ROUND(IF(H73=0,ROUND(('Расчет участников НИР'!$H75*'счеталка премий'!O65),2)-H73,0),2),0)</f>
        <v>0</v>
      </c>
      <c r="J73" s="310">
        <f t="shared" si="6"/>
        <v>0</v>
      </c>
      <c r="K73" s="306"/>
      <c r="L73" s="310" t="str">
        <f t="shared" si="7"/>
        <v>0,00</v>
      </c>
      <c r="M73" s="310">
        <f>IFERROR(ROUND(IF('Состав ВТК'!P68="",IF(AND('Состав ВТК'!M68&gt;=Выплаты!$L$8,'Состав ВТК'!L68&lt;=Выплаты!$L$8),ROUND(IF('счеталка премий'!I65&lt;0,0,('Расчет участников НИР'!$H75*'счеталка премий'!P65)),2),0),IF(AND('Состав ВТК'!Q68&gt;=Выплаты!$L$8,'Состав ВТК'!P68&lt;=Выплаты!$L$8),ROUND(IF('счеталка премий'!I65&lt;0,0,('Расчет участников НИР'!$H75*'счеталка премий'!P65)),2),0)),2),0)</f>
        <v>0</v>
      </c>
      <c r="N73" s="310">
        <f>IFERROR(ROUND(IF(M73=0,ROUND(('Расчет участников НИР'!$H75*'счеталка премий'!P65),2)-M73,0),2),0)</f>
        <v>0</v>
      </c>
      <c r="O73" s="310">
        <f t="shared" si="13"/>
        <v>0</v>
      </c>
      <c r="P73" s="306"/>
      <c r="Q73" s="310" t="str">
        <f t="shared" si="9"/>
        <v>0,00</v>
      </c>
      <c r="R73" s="310">
        <f>IFERROR(ROUND(IF('Состав ВТК'!P68="",IF(AND('Состав ВТК'!M68&gt;=Выплаты!$Q$8,'Состав ВТК'!L68&lt;=Выплаты!$Q$8),ROUND(IF('счеталка премий'!J65&lt;0,0,('Расчет участников НИР'!$H75*'счеталка премий'!Q65)),2),0),IF(AND('Состав ВТК'!Q68&gt;=Выплаты!$Q$8,'Состав ВТК'!P68&lt;=Выплаты!$Q$8),ROUND(IF('счеталка премий'!J65&lt;0,0,('Расчет участников НИР'!$H75*'счеталка премий'!Q65)),2),0)),2),0)</f>
        <v>0</v>
      </c>
      <c r="S73" s="310">
        <f>IFERROR(ROUND(IF(R73=0,ROUND(('Расчет участников НИР'!$H75*'счеталка премий'!Q65),2)-R73,0),2),0)</f>
        <v>0</v>
      </c>
      <c r="T73" s="310">
        <f t="shared" si="14"/>
        <v>0</v>
      </c>
      <c r="U73" s="306"/>
      <c r="V73" s="310">
        <f t="shared" si="10"/>
        <v>0</v>
      </c>
      <c r="W73" s="310" t="str">
        <f t="shared" si="11"/>
        <v>0,00</v>
      </c>
      <c r="X73" s="310">
        <f>IFERROR(ROUND(IF('Состав ВТК'!P68="",IF('Состав ВТК'!M68&gt;=Выплаты!$V$8,ROUND(IF('счеталка премий'!K65&lt;0,0,'Расчет участников НИР'!$H75*'счеталка премий'!R65),2),0),IF('Состав ВТК'!Q68&gt;=Выплаты!$V$8,ROUND(IF('счеталка премий'!K65&lt;0,0,'Расчет участников НИР'!$H75*'счеталка премий'!R65),2),0)),2),0)</f>
        <v>0</v>
      </c>
      <c r="Y73" s="310">
        <f>IFERROR(ROUND(IF(OR(IF('Состав ВТК'!L68="",AND('Состав ВТК'!Q68&lt;=Выплаты!$V$8,'Состав ВТК'!P68&lt;Выплаты!$V$8),AND('Состав ВТК'!M68&lt;=Выплаты!$V$8,'Состав ВТК'!$K68=справочник!$A$5)),W73=0),0,$Y$12/(Распределение!$N$11-SUMIF($W$14:$W$114,0,Распределение!$N$13:$N$125))*Распределение!N72),2),"0,00")</f>
        <v>0</v>
      </c>
      <c r="Z73" s="310">
        <f>IFERROR(ROUND(IF(X73=0,ROUND(('Расчет участников НИР'!$H75*'счеталка премий'!R65),2)-X73,0),2),0)</f>
        <v>0</v>
      </c>
      <c r="AA73" s="306"/>
      <c r="AB73" s="309">
        <f t="shared" si="12"/>
        <v>0</v>
      </c>
      <c r="AC73" s="309">
        <f t="shared" si="15"/>
        <v>0</v>
      </c>
      <c r="AE73" s="308"/>
    </row>
    <row r="74" spans="1:31" hidden="1" x14ac:dyDescent="0.25">
      <c r="A74" s="247">
        <v>61</v>
      </c>
      <c r="B74" s="602">
        <f>'Состав ВТК'!$B69</f>
        <v>0</v>
      </c>
      <c r="C74" s="310" t="str">
        <f>IFERROR(VLOOKUP($B74,'Состав ВТК'!$B$9:$I$108,7,FALSE),"-")</f>
        <v>-</v>
      </c>
      <c r="D74" s="310" t="str">
        <f>IFERROR(VLOOKUP($B74,'Состав ВТК'!$B$9:$I$108,8,FALSE),"-")</f>
        <v>-</v>
      </c>
      <c r="E74" s="310">
        <f>ROUND(IF($B74='Расчет участников НИР'!$A76,'Расчет участников НИР'!$M76),2)</f>
        <v>0</v>
      </c>
      <c r="F74" s="310">
        <f>ROUND('Расчет участников НИР'!$H76*50%-$E74,2)</f>
        <v>0</v>
      </c>
      <c r="G74" s="310" t="str">
        <f t="shared" si="5"/>
        <v>0,00</v>
      </c>
      <c r="H74" s="310">
        <f>IFERROR(ROUND(IF('Состав ВТК'!P69="",IF(AND('Состав ВТК'!M69&gt;=Выплаты!$G$8,'Состав ВТК'!L69&lt;=Выплаты!$G$8),ROUND(('Расчет участников НИР'!$H76*'счеталка премий'!O66),2),0),IF(AND('Состав ВТК'!Q69&gt;=Выплаты!$G$8,'Состав ВТК'!P69&lt;=Выплаты!$G$8),ROUND(('Расчет участников НИР'!$H76*'счеталка премий'!O66),2),0)),2),0)</f>
        <v>0</v>
      </c>
      <c r="I74" s="310">
        <f>IFERROR(ROUND(IF(H74=0,ROUND(('Расчет участников НИР'!$H76*'счеталка премий'!O66),2)-H74,0),2),0)</f>
        <v>0</v>
      </c>
      <c r="J74" s="310">
        <f t="shared" si="6"/>
        <v>0</v>
      </c>
      <c r="K74" s="306"/>
      <c r="L74" s="310" t="str">
        <f t="shared" si="7"/>
        <v>0,00</v>
      </c>
      <c r="M74" s="310">
        <f>IFERROR(ROUND(IF('Состав ВТК'!P69="",IF(AND('Состав ВТК'!M69&gt;=Выплаты!$L$8,'Состав ВТК'!L69&lt;=Выплаты!$L$8),ROUND(IF('счеталка премий'!I66&lt;0,0,('Расчет участников НИР'!$H76*'счеталка премий'!P66)),2),0),IF(AND('Состав ВТК'!Q69&gt;=Выплаты!$L$8,'Состав ВТК'!P69&lt;=Выплаты!$L$8),ROUND(IF('счеталка премий'!I66&lt;0,0,('Расчет участников НИР'!$H76*'счеталка премий'!P66)),2),0)),2),0)</f>
        <v>0</v>
      </c>
      <c r="N74" s="310">
        <f>IFERROR(ROUND(IF(M74=0,ROUND(('Расчет участников НИР'!$H76*'счеталка премий'!P66),2)-M74,0),2),0)</f>
        <v>0</v>
      </c>
      <c r="O74" s="310">
        <f t="shared" si="13"/>
        <v>0</v>
      </c>
      <c r="P74" s="306"/>
      <c r="Q74" s="310" t="str">
        <f t="shared" si="9"/>
        <v>0,00</v>
      </c>
      <c r="R74" s="310">
        <f>IFERROR(ROUND(IF('Состав ВТК'!P69="",IF(AND('Состав ВТК'!M69&gt;=Выплаты!$Q$8,'Состав ВТК'!L69&lt;=Выплаты!$Q$8),ROUND(IF('счеталка премий'!J66&lt;0,0,('Расчет участников НИР'!$H76*'счеталка премий'!Q66)),2),0),IF(AND('Состав ВТК'!Q69&gt;=Выплаты!$Q$8,'Состав ВТК'!P69&lt;=Выплаты!$Q$8),ROUND(IF('счеталка премий'!J66&lt;0,0,('Расчет участников НИР'!$H76*'счеталка премий'!Q66)),2),0)),2),0)</f>
        <v>0</v>
      </c>
      <c r="S74" s="310">
        <f>IFERROR(ROUND(IF(R74=0,ROUND(('Расчет участников НИР'!$H76*'счеталка премий'!Q66),2)-R74,0),2),0)</f>
        <v>0</v>
      </c>
      <c r="T74" s="310">
        <f t="shared" si="14"/>
        <v>0</v>
      </c>
      <c r="U74" s="306"/>
      <c r="V74" s="310">
        <f t="shared" si="10"/>
        <v>0</v>
      </c>
      <c r="W74" s="310" t="str">
        <f t="shared" si="11"/>
        <v>0,00</v>
      </c>
      <c r="X74" s="310">
        <f>IFERROR(ROUND(IF('Состав ВТК'!P69="",IF('Состав ВТК'!M69&gt;=Выплаты!$V$8,ROUND(IF('счеталка премий'!K66&lt;0,0,'Расчет участников НИР'!$H76*'счеталка премий'!R66),2),0),IF('Состав ВТК'!Q69&gt;=Выплаты!$V$8,ROUND(IF('счеталка премий'!K66&lt;0,0,'Расчет участников НИР'!$H76*'счеталка премий'!R66),2),0)),2),0)</f>
        <v>0</v>
      </c>
      <c r="Y74" s="310">
        <f>IFERROR(ROUND(IF(OR(IF('Состав ВТК'!L69="",AND('Состав ВТК'!Q69&lt;=Выплаты!$V$8,'Состав ВТК'!P69&lt;Выплаты!$V$8),AND('Состав ВТК'!M69&lt;=Выплаты!$V$8,'Состав ВТК'!$K69=справочник!$A$5)),W74=0),0,$Y$12/(Распределение!$N$11-SUMIF($W$14:$W$114,0,Распределение!$N$13:$N$125))*Распределение!N73),2),"0,00")</f>
        <v>0</v>
      </c>
      <c r="Z74" s="310">
        <f>IFERROR(ROUND(IF(X74=0,ROUND(('Расчет участников НИР'!$H76*'счеталка премий'!R66),2)-X74,0),2),0)</f>
        <v>0</v>
      </c>
      <c r="AA74" s="306"/>
      <c r="AB74" s="309">
        <f t="shared" si="12"/>
        <v>0</v>
      </c>
      <c r="AC74" s="309">
        <f t="shared" si="15"/>
        <v>0</v>
      </c>
      <c r="AE74" s="308"/>
    </row>
    <row r="75" spans="1:31" hidden="1" x14ac:dyDescent="0.25">
      <c r="A75" s="247">
        <v>62</v>
      </c>
      <c r="B75" s="602">
        <f>'Состав ВТК'!$B70</f>
        <v>0</v>
      </c>
      <c r="C75" s="310" t="str">
        <f>IFERROR(VLOOKUP($B75,'Состав ВТК'!$B$9:$I$108,7,FALSE),"-")</f>
        <v>-</v>
      </c>
      <c r="D75" s="310" t="str">
        <f>IFERROR(VLOOKUP($B75,'Состав ВТК'!$B$9:$I$108,8,FALSE),"-")</f>
        <v>-</v>
      </c>
      <c r="E75" s="310">
        <f>ROUND(IF($B75='Расчет участников НИР'!$A77,'Расчет участников НИР'!$M77),2)</f>
        <v>0</v>
      </c>
      <c r="F75" s="310">
        <f>ROUND('Расчет участников НИР'!$H77*50%-$E75,2)</f>
        <v>0</v>
      </c>
      <c r="G75" s="310" t="str">
        <f t="shared" si="5"/>
        <v>0,00</v>
      </c>
      <c r="H75" s="310">
        <f>IFERROR(ROUND(IF('Состав ВТК'!P70="",IF(AND('Состав ВТК'!M70&gt;=Выплаты!$G$8,'Состав ВТК'!L70&lt;=Выплаты!$G$8),ROUND(('Расчет участников НИР'!$H77*'счеталка премий'!O67),2),0),IF(AND('Состав ВТК'!Q70&gt;=Выплаты!$G$8,'Состав ВТК'!P70&lt;=Выплаты!$G$8),ROUND(('Расчет участников НИР'!$H77*'счеталка премий'!O67),2),0)),2),0)</f>
        <v>0</v>
      </c>
      <c r="I75" s="310">
        <f>IFERROR(ROUND(IF(H75=0,ROUND(('Расчет участников НИР'!$H77*'счеталка премий'!O67),2)-H75,0),2),0)</f>
        <v>0</v>
      </c>
      <c r="J75" s="310">
        <f t="shared" si="6"/>
        <v>0</v>
      </c>
      <c r="K75" s="306"/>
      <c r="L75" s="310" t="str">
        <f t="shared" si="7"/>
        <v>0,00</v>
      </c>
      <c r="M75" s="310">
        <f>IFERROR(ROUND(IF('Состав ВТК'!P70="",IF(AND('Состав ВТК'!M70&gt;=Выплаты!$L$8,'Состав ВТК'!L70&lt;=Выплаты!$L$8),ROUND(IF('счеталка премий'!I67&lt;0,0,('Расчет участников НИР'!$H77*'счеталка премий'!P67)),2),0),IF(AND('Состав ВТК'!Q70&gt;=Выплаты!$L$8,'Состав ВТК'!P70&lt;=Выплаты!$L$8),ROUND(IF('счеталка премий'!I67&lt;0,0,('Расчет участников НИР'!$H77*'счеталка премий'!P67)),2),0)),2),0)</f>
        <v>0</v>
      </c>
      <c r="N75" s="310">
        <f>IFERROR(ROUND(IF(M75=0,ROUND(('Расчет участников НИР'!$H77*'счеталка премий'!P67),2)-M75,0),2),0)</f>
        <v>0</v>
      </c>
      <c r="O75" s="310">
        <f t="shared" si="13"/>
        <v>0</v>
      </c>
      <c r="P75" s="306"/>
      <c r="Q75" s="310" t="str">
        <f t="shared" si="9"/>
        <v>0,00</v>
      </c>
      <c r="R75" s="310">
        <f>IFERROR(ROUND(IF('Состав ВТК'!P70="",IF(AND('Состав ВТК'!M70&gt;=Выплаты!$Q$8,'Состав ВТК'!L70&lt;=Выплаты!$Q$8),ROUND(IF('счеталка премий'!J67&lt;0,0,('Расчет участников НИР'!$H77*'счеталка премий'!Q67)),2),0),IF(AND('Состав ВТК'!Q70&gt;=Выплаты!$Q$8,'Состав ВТК'!P70&lt;=Выплаты!$Q$8),ROUND(IF('счеталка премий'!J67&lt;0,0,('Расчет участников НИР'!$H77*'счеталка премий'!Q67)),2),0)),2),0)</f>
        <v>0</v>
      </c>
      <c r="S75" s="310">
        <f>IFERROR(ROUND(IF(R75=0,ROUND(('Расчет участников НИР'!$H77*'счеталка премий'!Q67),2)-R75,0),2),0)</f>
        <v>0</v>
      </c>
      <c r="T75" s="310">
        <f t="shared" si="14"/>
        <v>0</v>
      </c>
      <c r="U75" s="306"/>
      <c r="V75" s="310">
        <f t="shared" si="10"/>
        <v>0</v>
      </c>
      <c r="W75" s="310" t="str">
        <f t="shared" si="11"/>
        <v>0,00</v>
      </c>
      <c r="X75" s="310">
        <f>IFERROR(ROUND(IF('Состав ВТК'!P70="",IF('Состав ВТК'!M70&gt;=Выплаты!$V$8,ROUND(IF('счеталка премий'!K67&lt;0,0,'Расчет участников НИР'!$H77*'счеталка премий'!R67),2),0),IF('Состав ВТК'!Q70&gt;=Выплаты!$V$8,ROUND(IF('счеталка премий'!K67&lt;0,0,'Расчет участников НИР'!$H77*'счеталка премий'!R67),2),0)),2),0)</f>
        <v>0</v>
      </c>
      <c r="Y75" s="310">
        <f>IFERROR(ROUND(IF(OR(IF('Состав ВТК'!L70="",AND('Состав ВТК'!Q70&lt;=Выплаты!$V$8,'Состав ВТК'!P70&lt;Выплаты!$V$8),AND('Состав ВТК'!M70&lt;=Выплаты!$V$8,'Состав ВТК'!$K70=справочник!$A$5)),W75=0),0,$Y$12/(Распределение!$N$11-SUMIF($W$14:$W$114,0,Распределение!$N$13:$N$125))*Распределение!N74),2),"0,00")</f>
        <v>0</v>
      </c>
      <c r="Z75" s="310">
        <f>IFERROR(ROUND(IF(X75=0,ROUND(('Расчет участников НИР'!$H77*'счеталка премий'!R67),2)-X75,0),2),0)</f>
        <v>0</v>
      </c>
      <c r="AA75" s="306"/>
      <c r="AB75" s="309">
        <f t="shared" si="12"/>
        <v>0</v>
      </c>
      <c r="AC75" s="309">
        <f t="shared" si="15"/>
        <v>0</v>
      </c>
      <c r="AE75" s="308"/>
    </row>
    <row r="76" spans="1:31" hidden="1" x14ac:dyDescent="0.25">
      <c r="A76" s="247">
        <v>63</v>
      </c>
      <c r="B76" s="602">
        <f>'Состав ВТК'!$B71</f>
        <v>0</v>
      </c>
      <c r="C76" s="310" t="str">
        <f>IFERROR(VLOOKUP($B76,'Состав ВТК'!$B$9:$I$108,7,FALSE),"-")</f>
        <v>-</v>
      </c>
      <c r="D76" s="310" t="str">
        <f>IFERROR(VLOOKUP($B76,'Состав ВТК'!$B$9:$I$108,8,FALSE),"-")</f>
        <v>-</v>
      </c>
      <c r="E76" s="310">
        <f>ROUND(IF($B76='Расчет участников НИР'!$A78,'Расчет участников НИР'!$M78),2)</f>
        <v>0</v>
      </c>
      <c r="F76" s="310">
        <f>ROUND('Расчет участников НИР'!$H78*50%-$E76,2)</f>
        <v>0</v>
      </c>
      <c r="G76" s="310" t="str">
        <f t="shared" si="5"/>
        <v>0,00</v>
      </c>
      <c r="H76" s="310">
        <f>IFERROR(ROUND(IF('Состав ВТК'!P71="",IF(AND('Состав ВТК'!M71&gt;=Выплаты!$G$8,'Состав ВТК'!L71&lt;=Выплаты!$G$8),ROUND(('Расчет участников НИР'!$H78*'счеталка премий'!O68),2),0),IF(AND('Состав ВТК'!Q71&gt;=Выплаты!$G$8,'Состав ВТК'!P71&lt;=Выплаты!$G$8),ROUND(('Расчет участников НИР'!$H78*'счеталка премий'!O68),2),0)),2),0)</f>
        <v>0</v>
      </c>
      <c r="I76" s="310">
        <f>IFERROR(ROUND(IF(H76=0,ROUND(('Расчет участников НИР'!$H78*'счеталка премий'!O68),2)-H76,0),2),0)</f>
        <v>0</v>
      </c>
      <c r="J76" s="310">
        <f t="shared" si="6"/>
        <v>0</v>
      </c>
      <c r="K76" s="306"/>
      <c r="L76" s="310" t="str">
        <f t="shared" si="7"/>
        <v>0,00</v>
      </c>
      <c r="M76" s="310">
        <f>IFERROR(ROUND(IF('Состав ВТК'!P71="",IF(AND('Состав ВТК'!M71&gt;=Выплаты!$L$8,'Состав ВТК'!L71&lt;=Выплаты!$L$8),ROUND(IF('счеталка премий'!I68&lt;0,0,('Расчет участников НИР'!$H78*'счеталка премий'!P68)),2),0),IF(AND('Состав ВТК'!Q71&gt;=Выплаты!$L$8,'Состав ВТК'!P71&lt;=Выплаты!$L$8),ROUND(IF('счеталка премий'!I68&lt;0,0,('Расчет участников НИР'!$H78*'счеталка премий'!P68)),2),0)),2),0)</f>
        <v>0</v>
      </c>
      <c r="N76" s="310">
        <f>IFERROR(ROUND(IF(M76=0,ROUND(('Расчет участников НИР'!$H78*'счеталка премий'!P68),2)-M76,0),2),0)</f>
        <v>0</v>
      </c>
      <c r="O76" s="310">
        <f t="shared" si="13"/>
        <v>0</v>
      </c>
      <c r="P76" s="306"/>
      <c r="Q76" s="310" t="str">
        <f t="shared" si="9"/>
        <v>0,00</v>
      </c>
      <c r="R76" s="310">
        <f>IFERROR(ROUND(IF('Состав ВТК'!P71="",IF(AND('Состав ВТК'!M71&gt;=Выплаты!$Q$8,'Состав ВТК'!L71&lt;=Выплаты!$Q$8),ROUND(IF('счеталка премий'!J68&lt;0,0,('Расчет участников НИР'!$H78*'счеталка премий'!Q68)),2),0),IF(AND('Состав ВТК'!Q71&gt;=Выплаты!$Q$8,'Состав ВТК'!P71&lt;=Выплаты!$Q$8),ROUND(IF('счеталка премий'!J68&lt;0,0,('Расчет участников НИР'!$H78*'счеталка премий'!Q68)),2),0)),2),0)</f>
        <v>0</v>
      </c>
      <c r="S76" s="310">
        <f>IFERROR(ROUND(IF(R76=0,ROUND(('Расчет участников НИР'!$H78*'счеталка премий'!Q68),2)-R76,0),2),0)</f>
        <v>0</v>
      </c>
      <c r="T76" s="310">
        <f t="shared" si="14"/>
        <v>0</v>
      </c>
      <c r="U76" s="306"/>
      <c r="V76" s="310">
        <f t="shared" si="10"/>
        <v>0</v>
      </c>
      <c r="W76" s="310" t="str">
        <f t="shared" si="11"/>
        <v>0,00</v>
      </c>
      <c r="X76" s="310">
        <f>IFERROR(ROUND(IF('Состав ВТК'!P71="",IF('Состав ВТК'!M71&gt;=Выплаты!$V$8,ROUND(IF('счеталка премий'!K68&lt;0,0,'Расчет участников НИР'!$H78*'счеталка премий'!R68),2),0),IF('Состав ВТК'!Q71&gt;=Выплаты!$V$8,ROUND(IF('счеталка премий'!K68&lt;0,0,'Расчет участников НИР'!$H78*'счеталка премий'!R68),2),0)),2),0)</f>
        <v>0</v>
      </c>
      <c r="Y76" s="310">
        <f>IFERROR(ROUND(IF(OR(IF('Состав ВТК'!L71="",AND('Состав ВТК'!Q71&lt;=Выплаты!$V$8,'Состав ВТК'!P71&lt;Выплаты!$V$8),AND('Состав ВТК'!M71&lt;=Выплаты!$V$8,'Состав ВТК'!$K71=справочник!$A$5)),W76=0),0,$Y$12/(Распределение!$N$11-SUMIF($W$14:$W$114,0,Распределение!$N$13:$N$125))*Распределение!N75),2),"0,00")</f>
        <v>0</v>
      </c>
      <c r="Z76" s="310">
        <f>IFERROR(ROUND(IF(X76=0,ROUND(('Расчет участников НИР'!$H78*'счеталка премий'!R68),2)-X76,0),2),0)</f>
        <v>0</v>
      </c>
      <c r="AA76" s="306"/>
      <c r="AB76" s="309">
        <f t="shared" si="12"/>
        <v>0</v>
      </c>
      <c r="AC76" s="309">
        <f t="shared" si="15"/>
        <v>0</v>
      </c>
      <c r="AE76" s="308"/>
    </row>
    <row r="77" spans="1:31" hidden="1" x14ac:dyDescent="0.25">
      <c r="A77" s="247">
        <v>64</v>
      </c>
      <c r="B77" s="602">
        <f>'Состав ВТК'!$B72</f>
        <v>0</v>
      </c>
      <c r="C77" s="310" t="str">
        <f>IFERROR(VLOOKUP($B77,'Состав ВТК'!$B$9:$I$108,7,FALSE),"-")</f>
        <v>-</v>
      </c>
      <c r="D77" s="310" t="str">
        <f>IFERROR(VLOOKUP($B77,'Состав ВТК'!$B$9:$I$108,8,FALSE),"-")</f>
        <v>-</v>
      </c>
      <c r="E77" s="310">
        <f>ROUND(IF($B77='Расчет участников НИР'!$A79,'Расчет участников НИР'!$M79),2)</f>
        <v>0</v>
      </c>
      <c r="F77" s="310">
        <f>ROUND('Расчет участников НИР'!$H79*50%-$E77,2)</f>
        <v>0</v>
      </c>
      <c r="G77" s="310" t="str">
        <f t="shared" si="5"/>
        <v>0,00</v>
      </c>
      <c r="H77" s="310">
        <f>IFERROR(ROUND(IF('Состав ВТК'!P72="",IF(AND('Состав ВТК'!M72&gt;=Выплаты!$G$8,'Состав ВТК'!L72&lt;=Выплаты!$G$8),ROUND(('Расчет участников НИР'!$H79*'счеталка премий'!O69),2),0),IF(AND('Состав ВТК'!Q72&gt;=Выплаты!$G$8,'Состав ВТК'!P72&lt;=Выплаты!$G$8),ROUND(('Расчет участников НИР'!$H79*'счеталка премий'!O69),2),0)),2),0)</f>
        <v>0</v>
      </c>
      <c r="I77" s="310">
        <f>IFERROR(ROUND(IF(H77=0,ROUND(('Расчет участников НИР'!$H79*'счеталка премий'!O69),2)-H77,0),2),0)</f>
        <v>0</v>
      </c>
      <c r="J77" s="310">
        <f t="shared" si="6"/>
        <v>0</v>
      </c>
      <c r="K77" s="306"/>
      <c r="L77" s="310" t="str">
        <f t="shared" si="7"/>
        <v>0,00</v>
      </c>
      <c r="M77" s="310">
        <f>IFERROR(ROUND(IF('Состав ВТК'!P72="",IF(AND('Состав ВТК'!M72&gt;=Выплаты!$L$8,'Состав ВТК'!L72&lt;=Выплаты!$L$8),ROUND(IF('счеталка премий'!I69&lt;0,0,('Расчет участников НИР'!$H79*'счеталка премий'!P69)),2),0),IF(AND('Состав ВТК'!Q72&gt;=Выплаты!$L$8,'Состав ВТК'!P72&lt;=Выплаты!$L$8),ROUND(IF('счеталка премий'!I69&lt;0,0,('Расчет участников НИР'!$H79*'счеталка премий'!P69)),2),0)),2),0)</f>
        <v>0</v>
      </c>
      <c r="N77" s="310">
        <f>IFERROR(ROUND(IF(M77=0,ROUND(('Расчет участников НИР'!$H79*'счеталка премий'!P69),2)-M77,0),2),0)</f>
        <v>0</v>
      </c>
      <c r="O77" s="310">
        <f t="shared" si="13"/>
        <v>0</v>
      </c>
      <c r="P77" s="306"/>
      <c r="Q77" s="310" t="str">
        <f t="shared" si="9"/>
        <v>0,00</v>
      </c>
      <c r="R77" s="310">
        <f>IFERROR(ROUND(IF('Состав ВТК'!P72="",IF(AND('Состав ВТК'!M72&gt;=Выплаты!$Q$8,'Состав ВТК'!L72&lt;=Выплаты!$Q$8),ROUND(IF('счеталка премий'!J69&lt;0,0,('Расчет участников НИР'!$H79*'счеталка премий'!Q69)),2),0),IF(AND('Состав ВТК'!Q72&gt;=Выплаты!$Q$8,'Состав ВТК'!P72&lt;=Выплаты!$Q$8),ROUND(IF('счеталка премий'!J69&lt;0,0,('Расчет участников НИР'!$H79*'счеталка премий'!Q69)),2),0)),2),0)</f>
        <v>0</v>
      </c>
      <c r="S77" s="310">
        <f>IFERROR(ROUND(IF(R77=0,ROUND(('Расчет участников НИР'!$H79*'счеталка премий'!Q69),2)-R77,0),2),0)</f>
        <v>0</v>
      </c>
      <c r="T77" s="310">
        <f t="shared" si="14"/>
        <v>0</v>
      </c>
      <c r="U77" s="306"/>
      <c r="V77" s="310">
        <f t="shared" si="10"/>
        <v>0</v>
      </c>
      <c r="W77" s="310" t="str">
        <f t="shared" si="11"/>
        <v>0,00</v>
      </c>
      <c r="X77" s="310">
        <f>IFERROR(ROUND(IF('Состав ВТК'!P72="",IF('Состав ВТК'!M72&gt;=Выплаты!$V$8,ROUND(IF('счеталка премий'!K69&lt;0,0,'Расчет участников НИР'!$H79*'счеталка премий'!R69),2),0),IF('Состав ВТК'!Q72&gt;=Выплаты!$V$8,ROUND(IF('счеталка премий'!K69&lt;0,0,'Расчет участников НИР'!$H79*'счеталка премий'!R69),2),0)),2),0)</f>
        <v>0</v>
      </c>
      <c r="Y77" s="310">
        <f>IFERROR(ROUND(IF(OR(IF('Состав ВТК'!L72="",AND('Состав ВТК'!Q72&lt;=Выплаты!$V$8,'Состав ВТК'!P72&lt;Выплаты!$V$8),AND('Состав ВТК'!M72&lt;=Выплаты!$V$8,'Состав ВТК'!$K72=справочник!$A$5)),W77=0),0,$Y$12/(Распределение!$N$11-SUMIF($W$14:$W$114,0,Распределение!$N$13:$N$125))*Распределение!N76),2),"0,00")</f>
        <v>0</v>
      </c>
      <c r="Z77" s="310">
        <f>IFERROR(ROUND(IF(X77=0,ROUND(('Расчет участников НИР'!$H79*'счеталка премий'!R69),2)-X77,0),2),0)</f>
        <v>0</v>
      </c>
      <c r="AA77" s="306"/>
      <c r="AB77" s="309">
        <f t="shared" si="12"/>
        <v>0</v>
      </c>
      <c r="AC77" s="309">
        <f t="shared" si="15"/>
        <v>0</v>
      </c>
      <c r="AE77" s="308"/>
    </row>
    <row r="78" spans="1:31" hidden="1" x14ac:dyDescent="0.25">
      <c r="A78" s="247">
        <v>65</v>
      </c>
      <c r="B78" s="602">
        <f>'Состав ВТК'!$B73</f>
        <v>0</v>
      </c>
      <c r="C78" s="310" t="str">
        <f>IFERROR(VLOOKUP($B78,'Состав ВТК'!$B$9:$I$108,7,FALSE),"-")</f>
        <v>-</v>
      </c>
      <c r="D78" s="310" t="str">
        <f>IFERROR(VLOOKUP($B78,'Состав ВТК'!$B$9:$I$108,8,FALSE),"-")</f>
        <v>-</v>
      </c>
      <c r="E78" s="310">
        <f>ROUND(IF($B78='Расчет участников НИР'!$A80,'Расчет участников НИР'!$M80),2)</f>
        <v>0</v>
      </c>
      <c r="F78" s="310">
        <f>ROUND('Расчет участников НИР'!$H80*50%-$E78,2)</f>
        <v>0</v>
      </c>
      <c r="G78" s="310" t="str">
        <f t="shared" si="5"/>
        <v>0,00</v>
      </c>
      <c r="H78" s="310">
        <f>IFERROR(ROUND(IF('Состав ВТК'!P73="",IF(AND('Состав ВТК'!M73&gt;=Выплаты!$G$8,'Состав ВТК'!L73&lt;=Выплаты!$G$8),ROUND(('Расчет участников НИР'!$H80*'счеталка премий'!O70),2),0),IF(AND('Состав ВТК'!Q73&gt;=Выплаты!$G$8,'Состав ВТК'!P73&lt;=Выплаты!$G$8),ROUND(('Расчет участников НИР'!$H80*'счеталка премий'!O70),2),0)),2),0)</f>
        <v>0</v>
      </c>
      <c r="I78" s="310">
        <f>IFERROR(ROUND(IF(H78=0,ROUND(('Расчет участников НИР'!$H80*'счеталка премий'!O70),2)-H78,0),2),0)</f>
        <v>0</v>
      </c>
      <c r="J78" s="310">
        <f t="shared" si="6"/>
        <v>0</v>
      </c>
      <c r="K78" s="306"/>
      <c r="L78" s="310" t="str">
        <f t="shared" si="7"/>
        <v>0,00</v>
      </c>
      <c r="M78" s="310">
        <f>IFERROR(ROUND(IF('Состав ВТК'!P73="",IF(AND('Состав ВТК'!M73&gt;=Выплаты!$L$8,'Состав ВТК'!L73&lt;=Выплаты!$L$8),ROUND(IF('счеталка премий'!I70&lt;0,0,('Расчет участников НИР'!$H80*'счеталка премий'!P70)),2),0),IF(AND('Состав ВТК'!Q73&gt;=Выплаты!$L$8,'Состав ВТК'!P73&lt;=Выплаты!$L$8),ROUND(IF('счеталка премий'!I70&lt;0,0,('Расчет участников НИР'!$H80*'счеталка премий'!P70)),2),0)),2),0)</f>
        <v>0</v>
      </c>
      <c r="N78" s="310">
        <f>IFERROR(ROUND(IF(M78=0,ROUND(('Расчет участников НИР'!$H80*'счеталка премий'!P70),2)-M78,0),2),0)</f>
        <v>0</v>
      </c>
      <c r="O78" s="310">
        <f t="shared" ref="O78:O113" si="16">ROUND(L78*0.5,2)</f>
        <v>0</v>
      </c>
      <c r="P78" s="306"/>
      <c r="Q78" s="310" t="str">
        <f t="shared" si="9"/>
        <v>0,00</v>
      </c>
      <c r="R78" s="310">
        <f>IFERROR(ROUND(IF('Состав ВТК'!P73="",IF(AND('Состав ВТК'!M73&gt;=Выплаты!$Q$8,'Состав ВТК'!L73&lt;=Выплаты!$Q$8),ROUND(IF('счеталка премий'!J70&lt;0,0,('Расчет участников НИР'!$H80*'счеталка премий'!Q70)),2),0),IF(AND('Состав ВТК'!Q73&gt;=Выплаты!$Q$8,'Состав ВТК'!P73&lt;=Выплаты!$Q$8),ROUND(IF('счеталка премий'!J70&lt;0,0,('Расчет участников НИР'!$H80*'счеталка премий'!Q70)),2),0)),2),0)</f>
        <v>0</v>
      </c>
      <c r="S78" s="310">
        <f>IFERROR(ROUND(IF(R78=0,ROUND(('Расчет участников НИР'!$H80*'счеталка премий'!Q70),2)-R78,0),2),0)</f>
        <v>0</v>
      </c>
      <c r="T78" s="310">
        <f t="shared" ref="T78:T113" si="17">ROUND(Q78*0.5,2)</f>
        <v>0</v>
      </c>
      <c r="U78" s="306"/>
      <c r="V78" s="310">
        <f t="shared" si="10"/>
        <v>0</v>
      </c>
      <c r="W78" s="310" t="str">
        <f t="shared" si="11"/>
        <v>0,00</v>
      </c>
      <c r="X78" s="310">
        <f>IFERROR(ROUND(IF('Состав ВТК'!P73="",IF('Состав ВТК'!M73&gt;=Выплаты!$V$8,ROUND(IF('счеталка премий'!K70&lt;0,0,'Расчет участников НИР'!$H80*'счеталка премий'!R70),2),0),IF('Состав ВТК'!Q73&gt;=Выплаты!$V$8,ROUND(IF('счеталка премий'!K70&lt;0,0,'Расчет участников НИР'!$H80*'счеталка премий'!R70),2),0)),2),0)</f>
        <v>0</v>
      </c>
      <c r="Y78" s="310">
        <f>IFERROR(ROUND(IF(OR(IF('Состав ВТК'!L73="",AND('Состав ВТК'!Q73&lt;=Выплаты!$V$8,'Состав ВТК'!P73&lt;Выплаты!$V$8),AND('Состав ВТК'!M73&lt;=Выплаты!$V$8,'Состав ВТК'!$K73=справочник!$A$5)),W78=0),0,$Y$12/(Распределение!$N$11-SUMIF($W$14:$W$114,0,Распределение!$N$13:$N$125))*Распределение!N77),2),"0,00")</f>
        <v>0</v>
      </c>
      <c r="Z78" s="310">
        <f>IFERROR(ROUND(IF(X78=0,ROUND(('Расчет участников НИР'!$H80*'счеталка премий'!R70),2)-X78,0),2),0)</f>
        <v>0</v>
      </c>
      <c r="AA78" s="306"/>
      <c r="AB78" s="309">
        <f t="shared" si="12"/>
        <v>0</v>
      </c>
      <c r="AC78" s="309">
        <f t="shared" ref="AC78:AC113" si="18">ROUND(E78+F78+J78+K78+O78+P78+T78+U78+AA78,2)</f>
        <v>0</v>
      </c>
      <c r="AE78" s="308"/>
    </row>
    <row r="79" spans="1:31" hidden="1" x14ac:dyDescent="0.25">
      <c r="A79" s="247">
        <v>66</v>
      </c>
      <c r="B79" s="602">
        <f>'Состав ВТК'!$B74</f>
        <v>0</v>
      </c>
      <c r="C79" s="310" t="str">
        <f>IFERROR(VLOOKUP($B79,'Состав ВТК'!$B$9:$I$108,7,FALSE),"-")</f>
        <v>-</v>
      </c>
      <c r="D79" s="310" t="str">
        <f>IFERROR(VLOOKUP($B79,'Состав ВТК'!$B$9:$I$108,8,FALSE),"-")</f>
        <v>-</v>
      </c>
      <c r="E79" s="310">
        <f>ROUND(IF($B79='Расчет участников НИР'!$A81,'Расчет участников НИР'!$M81),2)</f>
        <v>0</v>
      </c>
      <c r="F79" s="310">
        <f>ROUND('Расчет участников НИР'!$H81*50%-$E79,2)</f>
        <v>0</v>
      </c>
      <c r="G79" s="310" t="str">
        <f t="shared" ref="G79:G113" si="19">IFERROR(ROUND(IF(H79&lt;0,0,H79+($I$12/($H$12-SUMIF($H$14:$H$113,"&lt;0"))*H79)),2),"0,00")</f>
        <v>0,00</v>
      </c>
      <c r="H79" s="310">
        <f>IFERROR(ROUND(IF('Состав ВТК'!P74="",IF(AND('Состав ВТК'!M74&gt;=Выплаты!$G$8,'Состав ВТК'!L74&lt;=Выплаты!$G$8),ROUND(('Расчет участников НИР'!$H81*'счеталка премий'!O71),2),0),IF(AND('Состав ВТК'!Q74&gt;=Выплаты!$G$8,'Состав ВТК'!P74&lt;=Выплаты!$G$8),ROUND(('Расчет участников НИР'!$H81*'счеталка премий'!O71),2),0)),2),0)</f>
        <v>0</v>
      </c>
      <c r="I79" s="310">
        <f>IFERROR(ROUND(IF(H79=0,ROUND(('Расчет участников НИР'!$H81*'счеталка премий'!O71),2)-H79,0),2),0)</f>
        <v>0</v>
      </c>
      <c r="J79" s="310">
        <f t="shared" ref="J79:J113" si="20">ROUND(G79*0.5,2)</f>
        <v>0</v>
      </c>
      <c r="K79" s="306"/>
      <c r="L79" s="310" t="str">
        <f t="shared" ref="L79:L113" si="21">IFERROR(ROUND(IF(M79&lt;0,0,M79+($N$12/($M$12-SUMIF($M$14:$M$113,"&lt;0"))*M79)),2),"0,00")</f>
        <v>0,00</v>
      </c>
      <c r="M79" s="310">
        <f>IFERROR(ROUND(IF('Состав ВТК'!P74="",IF(AND('Состав ВТК'!M74&gt;=Выплаты!$L$8,'Состав ВТК'!L74&lt;=Выплаты!$L$8),ROUND(IF('счеталка премий'!I71&lt;0,0,('Расчет участников НИР'!$H81*'счеталка премий'!P71)),2),0),IF(AND('Состав ВТК'!Q74&gt;=Выплаты!$L$8,'Состав ВТК'!P74&lt;=Выплаты!$L$8),ROUND(IF('счеталка премий'!I71&lt;0,0,('Расчет участников НИР'!$H81*'счеталка премий'!P71)),2),0)),2),0)</f>
        <v>0</v>
      </c>
      <c r="N79" s="310">
        <f>IFERROR(ROUND(IF(M79=0,ROUND(('Расчет участников НИР'!$H81*'счеталка премий'!P71),2)-M79,0),2),0)</f>
        <v>0</v>
      </c>
      <c r="O79" s="310">
        <f t="shared" si="16"/>
        <v>0</v>
      </c>
      <c r="P79" s="306"/>
      <c r="Q79" s="310" t="str">
        <f t="shared" ref="Q79:Q113" si="22">IFERROR(ROUND(IF(R79&lt;0,0,R79+($S$12/($R$12-SUMIF($R$14:$R$113,"&lt;0"))*R79)),2),"0,00")</f>
        <v>0,00</v>
      </c>
      <c r="R79" s="310">
        <f>IFERROR(ROUND(IF('Состав ВТК'!P74="",IF(AND('Состав ВТК'!M74&gt;=Выплаты!$Q$8,'Состав ВТК'!L74&lt;=Выплаты!$Q$8),ROUND(IF('счеталка премий'!J71&lt;0,0,('Расчет участников НИР'!$H81*'счеталка премий'!Q71)),2),0),IF(AND('Состав ВТК'!Q74&gt;=Выплаты!$Q$8,'Состав ВТК'!P74&lt;=Выплаты!$Q$8),ROUND(IF('счеталка премий'!J71&lt;0,0,('Расчет участников НИР'!$H81*'счеталка премий'!Q71)),2),0)),2),0)</f>
        <v>0</v>
      </c>
      <c r="S79" s="310">
        <f>IFERROR(ROUND(IF(R79=0,ROUND(('Расчет участников НИР'!$H81*'счеталка премий'!Q71),2)-R79,0),2),0)</f>
        <v>0</v>
      </c>
      <c r="T79" s="310">
        <f t="shared" si="17"/>
        <v>0</v>
      </c>
      <c r="U79" s="306"/>
      <c r="V79" s="310">
        <f t="shared" ref="V79:V113" si="23">W79+Y79</f>
        <v>0</v>
      </c>
      <c r="W79" s="310" t="str">
        <f t="shared" ref="W79:W113" si="24">IFERROR(ROUND(IF(X79&lt;0,0,X79+(($Z$12+SUMIF($X$14:$X$113,"&lt;0"))/($X$12-SUMIF($X$14:$X$113,"&lt;0"))*X79)),2),"0,00")</f>
        <v>0,00</v>
      </c>
      <c r="X79" s="310">
        <f>IFERROR(ROUND(IF('Состав ВТК'!P74="",IF('Состав ВТК'!M74&gt;=Выплаты!$V$8,ROUND(IF('счеталка премий'!K71&lt;0,0,'Расчет участников НИР'!$H81*'счеталка премий'!R71),2),0),IF('Состав ВТК'!Q74&gt;=Выплаты!$V$8,ROUND(IF('счеталка премий'!K71&lt;0,0,'Расчет участников НИР'!$H81*'счеталка премий'!R71),2),0)),2),0)</f>
        <v>0</v>
      </c>
      <c r="Y79" s="310">
        <f>IFERROR(ROUND(IF(OR(IF('Состав ВТК'!L74="",AND('Состав ВТК'!Q74&lt;=Выплаты!$V$8,'Состав ВТК'!P74&lt;Выплаты!$V$8),AND('Состав ВТК'!M74&lt;=Выплаты!$V$8,'Состав ВТК'!$K74=справочник!$A$5)),W79=0),0,$Y$12/(Распределение!$N$11-SUMIF($W$14:$W$114,0,Распределение!$N$13:$N$125))*Распределение!N78),2),"0,00")</f>
        <v>0</v>
      </c>
      <c r="Z79" s="310">
        <f>IFERROR(ROUND(IF(X79=0,ROUND(('Расчет участников НИР'!$H81*'счеталка премий'!R71),2)-X79,0),2),0)</f>
        <v>0</v>
      </c>
      <c r="AA79" s="306"/>
      <c r="AB79" s="309">
        <f t="shared" ref="AB79:AB113" si="25">ROUND(E79+F79+G79+L79+Q79+V79,2)</f>
        <v>0</v>
      </c>
      <c r="AC79" s="309">
        <f t="shared" si="18"/>
        <v>0</v>
      </c>
      <c r="AE79" s="308"/>
    </row>
    <row r="80" spans="1:31" hidden="1" x14ac:dyDescent="0.25">
      <c r="A80" s="247">
        <v>67</v>
      </c>
      <c r="B80" s="602">
        <f>'Состав ВТК'!$B75</f>
        <v>0</v>
      </c>
      <c r="C80" s="310" t="str">
        <f>IFERROR(VLOOKUP($B80,'Состав ВТК'!$B$9:$I$108,7,FALSE),"-")</f>
        <v>-</v>
      </c>
      <c r="D80" s="310" t="str">
        <f>IFERROR(VLOOKUP($B80,'Состав ВТК'!$B$9:$I$108,8,FALSE),"-")</f>
        <v>-</v>
      </c>
      <c r="E80" s="310">
        <f>ROUND(IF($B80='Расчет участников НИР'!$A82,'Расчет участников НИР'!$M82),2)</f>
        <v>0</v>
      </c>
      <c r="F80" s="310">
        <f>ROUND('Расчет участников НИР'!$H82*50%-$E80,2)</f>
        <v>0</v>
      </c>
      <c r="G80" s="310" t="str">
        <f t="shared" si="19"/>
        <v>0,00</v>
      </c>
      <c r="H80" s="310">
        <f>IFERROR(ROUND(IF('Состав ВТК'!P75="",IF(AND('Состав ВТК'!M75&gt;=Выплаты!$G$8,'Состав ВТК'!L75&lt;=Выплаты!$G$8),ROUND(('Расчет участников НИР'!$H82*'счеталка премий'!O72),2),0),IF(AND('Состав ВТК'!Q75&gt;=Выплаты!$G$8,'Состав ВТК'!P75&lt;=Выплаты!$G$8),ROUND(('Расчет участников НИР'!$H82*'счеталка премий'!O72),2),0)),2),0)</f>
        <v>0</v>
      </c>
      <c r="I80" s="310">
        <f>IFERROR(ROUND(IF(H80=0,ROUND(('Расчет участников НИР'!$H82*'счеталка премий'!O72),2)-H80,0),2),0)</f>
        <v>0</v>
      </c>
      <c r="J80" s="310">
        <f t="shared" si="20"/>
        <v>0</v>
      </c>
      <c r="K80" s="306"/>
      <c r="L80" s="310" t="str">
        <f t="shared" si="21"/>
        <v>0,00</v>
      </c>
      <c r="M80" s="310">
        <f>IFERROR(ROUND(IF('Состав ВТК'!P75="",IF(AND('Состав ВТК'!M75&gt;=Выплаты!$L$8,'Состав ВТК'!L75&lt;=Выплаты!$L$8),ROUND(IF('счеталка премий'!I72&lt;0,0,('Расчет участников НИР'!$H82*'счеталка премий'!P72)),2),0),IF(AND('Состав ВТК'!Q75&gt;=Выплаты!$L$8,'Состав ВТК'!P75&lt;=Выплаты!$L$8),ROUND(IF('счеталка премий'!I72&lt;0,0,('Расчет участников НИР'!$H82*'счеталка премий'!P72)),2),0)),2),0)</f>
        <v>0</v>
      </c>
      <c r="N80" s="310">
        <f>IFERROR(ROUND(IF(M80=0,ROUND(('Расчет участников НИР'!$H82*'счеталка премий'!P72),2)-M80,0),2),0)</f>
        <v>0</v>
      </c>
      <c r="O80" s="310">
        <f t="shared" si="16"/>
        <v>0</v>
      </c>
      <c r="P80" s="306"/>
      <c r="Q80" s="310" t="str">
        <f t="shared" si="22"/>
        <v>0,00</v>
      </c>
      <c r="R80" s="310">
        <f>IFERROR(ROUND(IF('Состав ВТК'!P75="",IF(AND('Состав ВТК'!M75&gt;=Выплаты!$Q$8,'Состав ВТК'!L75&lt;=Выплаты!$Q$8),ROUND(IF('счеталка премий'!J72&lt;0,0,('Расчет участников НИР'!$H82*'счеталка премий'!Q72)),2),0),IF(AND('Состав ВТК'!Q75&gt;=Выплаты!$Q$8,'Состав ВТК'!P75&lt;=Выплаты!$Q$8),ROUND(IF('счеталка премий'!J72&lt;0,0,('Расчет участников НИР'!$H82*'счеталка премий'!Q72)),2),0)),2),0)</f>
        <v>0</v>
      </c>
      <c r="S80" s="310">
        <f>IFERROR(ROUND(IF(R80=0,ROUND(('Расчет участников НИР'!$H82*'счеталка премий'!Q72),2)-R80,0),2),0)</f>
        <v>0</v>
      </c>
      <c r="T80" s="310">
        <f t="shared" si="17"/>
        <v>0</v>
      </c>
      <c r="U80" s="306"/>
      <c r="V80" s="310">
        <f t="shared" si="23"/>
        <v>0</v>
      </c>
      <c r="W80" s="310" t="str">
        <f t="shared" si="24"/>
        <v>0,00</v>
      </c>
      <c r="X80" s="310">
        <f>IFERROR(ROUND(IF('Состав ВТК'!P75="",IF('Состав ВТК'!M75&gt;=Выплаты!$V$8,ROUND(IF('счеталка премий'!K72&lt;0,0,'Расчет участников НИР'!$H82*'счеталка премий'!R72),2),0),IF('Состав ВТК'!Q75&gt;=Выплаты!$V$8,ROUND(IF('счеталка премий'!K72&lt;0,0,'Расчет участников НИР'!$H82*'счеталка премий'!R72),2),0)),2),0)</f>
        <v>0</v>
      </c>
      <c r="Y80" s="310">
        <f>IFERROR(ROUND(IF(OR(IF('Состав ВТК'!L75="",AND('Состав ВТК'!Q75&lt;=Выплаты!$V$8,'Состав ВТК'!P75&lt;Выплаты!$V$8),AND('Состав ВТК'!M75&lt;=Выплаты!$V$8,'Состав ВТК'!$K75=справочник!$A$5)),W80=0),0,$Y$12/(Распределение!$N$11-SUMIF($W$14:$W$114,0,Распределение!$N$13:$N$125))*Распределение!N79),2),"0,00")</f>
        <v>0</v>
      </c>
      <c r="Z80" s="310">
        <f>IFERROR(ROUND(IF(X80=0,ROUND(('Расчет участников НИР'!$H82*'счеталка премий'!R72),2)-X80,0),2),0)</f>
        <v>0</v>
      </c>
      <c r="AA80" s="306"/>
      <c r="AB80" s="309">
        <f t="shared" si="25"/>
        <v>0</v>
      </c>
      <c r="AC80" s="309">
        <f t="shared" si="18"/>
        <v>0</v>
      </c>
      <c r="AE80" s="308"/>
    </row>
    <row r="81" spans="1:31" hidden="1" x14ac:dyDescent="0.25">
      <c r="A81" s="247">
        <v>68</v>
      </c>
      <c r="B81" s="602">
        <f>'Состав ВТК'!$B76</f>
        <v>0</v>
      </c>
      <c r="C81" s="310" t="str">
        <f>IFERROR(VLOOKUP($B81,'Состав ВТК'!$B$9:$I$108,7,FALSE),"-")</f>
        <v>-</v>
      </c>
      <c r="D81" s="310" t="str">
        <f>IFERROR(VLOOKUP($B81,'Состав ВТК'!$B$9:$I$108,8,FALSE),"-")</f>
        <v>-</v>
      </c>
      <c r="E81" s="310">
        <f>ROUND(IF($B81='Расчет участников НИР'!$A83,'Расчет участников НИР'!$M83),2)</f>
        <v>0</v>
      </c>
      <c r="F81" s="310">
        <f>ROUND('Расчет участников НИР'!$H83*50%-$E81,2)</f>
        <v>0</v>
      </c>
      <c r="G81" s="310" t="str">
        <f t="shared" si="19"/>
        <v>0,00</v>
      </c>
      <c r="H81" s="310">
        <f>IFERROR(ROUND(IF('Состав ВТК'!P76="",IF(AND('Состав ВТК'!M76&gt;=Выплаты!$G$8,'Состав ВТК'!L76&lt;=Выплаты!$G$8),ROUND(('Расчет участников НИР'!$H83*'счеталка премий'!O73),2),0),IF(AND('Состав ВТК'!Q76&gt;=Выплаты!$G$8,'Состав ВТК'!P76&lt;=Выплаты!$G$8),ROUND(('Расчет участников НИР'!$H83*'счеталка премий'!O73),2),0)),2),0)</f>
        <v>0</v>
      </c>
      <c r="I81" s="310">
        <f>IFERROR(ROUND(IF(H81=0,ROUND(('Расчет участников НИР'!$H83*'счеталка премий'!O73),2)-H81,0),2),0)</f>
        <v>0</v>
      </c>
      <c r="J81" s="310">
        <f t="shared" si="20"/>
        <v>0</v>
      </c>
      <c r="K81" s="306"/>
      <c r="L81" s="310" t="str">
        <f t="shared" si="21"/>
        <v>0,00</v>
      </c>
      <c r="M81" s="310">
        <f>IFERROR(ROUND(IF('Состав ВТК'!P76="",IF(AND('Состав ВТК'!M76&gt;=Выплаты!$L$8,'Состав ВТК'!L76&lt;=Выплаты!$L$8),ROUND(IF('счеталка премий'!I73&lt;0,0,('Расчет участников НИР'!$H83*'счеталка премий'!P73)),2),0),IF(AND('Состав ВТК'!Q76&gt;=Выплаты!$L$8,'Состав ВТК'!P76&lt;=Выплаты!$L$8),ROUND(IF('счеталка премий'!I73&lt;0,0,('Расчет участников НИР'!$H83*'счеталка премий'!P73)),2),0)),2),0)</f>
        <v>0</v>
      </c>
      <c r="N81" s="310">
        <f>IFERROR(ROUND(IF(M81=0,ROUND(('Расчет участников НИР'!$H83*'счеталка премий'!P73),2)-M81,0),2),0)</f>
        <v>0</v>
      </c>
      <c r="O81" s="310">
        <f t="shared" si="16"/>
        <v>0</v>
      </c>
      <c r="P81" s="306"/>
      <c r="Q81" s="310" t="str">
        <f t="shared" si="22"/>
        <v>0,00</v>
      </c>
      <c r="R81" s="310">
        <f>IFERROR(ROUND(IF('Состав ВТК'!P76="",IF(AND('Состав ВТК'!M76&gt;=Выплаты!$Q$8,'Состав ВТК'!L76&lt;=Выплаты!$Q$8),ROUND(IF('счеталка премий'!J73&lt;0,0,('Расчет участников НИР'!$H83*'счеталка премий'!Q73)),2),0),IF(AND('Состав ВТК'!Q76&gt;=Выплаты!$Q$8,'Состав ВТК'!P76&lt;=Выплаты!$Q$8),ROUND(IF('счеталка премий'!J73&lt;0,0,('Расчет участников НИР'!$H83*'счеталка премий'!Q73)),2),0)),2),0)</f>
        <v>0</v>
      </c>
      <c r="S81" s="310">
        <f>IFERROR(ROUND(IF(R81=0,ROUND(('Расчет участников НИР'!$H83*'счеталка премий'!Q73),2)-R81,0),2),0)</f>
        <v>0</v>
      </c>
      <c r="T81" s="310">
        <f t="shared" si="17"/>
        <v>0</v>
      </c>
      <c r="U81" s="306"/>
      <c r="V81" s="310">
        <f t="shared" si="23"/>
        <v>0</v>
      </c>
      <c r="W81" s="310" t="str">
        <f t="shared" si="24"/>
        <v>0,00</v>
      </c>
      <c r="X81" s="310">
        <f>IFERROR(ROUND(IF('Состав ВТК'!P76="",IF('Состав ВТК'!M76&gt;=Выплаты!$V$8,ROUND(IF('счеталка премий'!K73&lt;0,0,'Расчет участников НИР'!$H83*'счеталка премий'!R73),2),0),IF('Состав ВТК'!Q76&gt;=Выплаты!$V$8,ROUND(IF('счеталка премий'!K73&lt;0,0,'Расчет участников НИР'!$H83*'счеталка премий'!R73),2),0)),2),0)</f>
        <v>0</v>
      </c>
      <c r="Y81" s="310">
        <f>IFERROR(ROUND(IF(OR(IF('Состав ВТК'!L76="",AND('Состав ВТК'!Q76&lt;=Выплаты!$V$8,'Состав ВТК'!P76&lt;Выплаты!$V$8),AND('Состав ВТК'!M76&lt;=Выплаты!$V$8,'Состав ВТК'!$K76=справочник!$A$5)),W81=0),0,$Y$12/(Распределение!$N$11-SUMIF($W$14:$W$114,0,Распределение!$N$13:$N$125))*Распределение!N80),2),"0,00")</f>
        <v>0</v>
      </c>
      <c r="Z81" s="310">
        <f>IFERROR(ROUND(IF(X81=0,ROUND(('Расчет участников НИР'!$H83*'счеталка премий'!R73),2)-X81,0),2),0)</f>
        <v>0</v>
      </c>
      <c r="AA81" s="306"/>
      <c r="AB81" s="309">
        <f t="shared" si="25"/>
        <v>0</v>
      </c>
      <c r="AC81" s="309">
        <f t="shared" si="18"/>
        <v>0</v>
      </c>
      <c r="AE81" s="308"/>
    </row>
    <row r="82" spans="1:31" hidden="1" x14ac:dyDescent="0.25">
      <c r="A82" s="247">
        <v>69</v>
      </c>
      <c r="B82" s="602">
        <f>'Состав ВТК'!$B77</f>
        <v>0</v>
      </c>
      <c r="C82" s="310" t="str">
        <f>IFERROR(VLOOKUP($B82,'Состав ВТК'!$B$9:$I$108,7,FALSE),"-")</f>
        <v>-</v>
      </c>
      <c r="D82" s="310" t="str">
        <f>IFERROR(VLOOKUP($B82,'Состав ВТК'!$B$9:$I$108,8,FALSE),"-")</f>
        <v>-</v>
      </c>
      <c r="E82" s="310">
        <f>ROUND(IF($B82='Расчет участников НИР'!$A84,'Расчет участников НИР'!$M84),2)</f>
        <v>0</v>
      </c>
      <c r="F82" s="310">
        <f>ROUND('Расчет участников НИР'!$H84*50%-$E82,2)</f>
        <v>0</v>
      </c>
      <c r="G82" s="310" t="str">
        <f t="shared" si="19"/>
        <v>0,00</v>
      </c>
      <c r="H82" s="310">
        <f>IFERROR(ROUND(IF('Состав ВТК'!P77="",IF(AND('Состав ВТК'!M77&gt;=Выплаты!$G$8,'Состав ВТК'!L77&lt;=Выплаты!$G$8),ROUND(('Расчет участников НИР'!$H84*'счеталка премий'!O74),2),0),IF(AND('Состав ВТК'!Q77&gt;=Выплаты!$G$8,'Состав ВТК'!P77&lt;=Выплаты!$G$8),ROUND(('Расчет участников НИР'!$H84*'счеталка премий'!O74),2),0)),2),0)</f>
        <v>0</v>
      </c>
      <c r="I82" s="310">
        <f>IFERROR(ROUND(IF(H82=0,ROUND(('Расчет участников НИР'!$H84*'счеталка премий'!O74),2)-H82,0),2),0)</f>
        <v>0</v>
      </c>
      <c r="J82" s="310">
        <f t="shared" si="20"/>
        <v>0</v>
      </c>
      <c r="K82" s="306"/>
      <c r="L82" s="310" t="str">
        <f t="shared" si="21"/>
        <v>0,00</v>
      </c>
      <c r="M82" s="310">
        <f>IFERROR(ROUND(IF('Состав ВТК'!P77="",IF(AND('Состав ВТК'!M77&gt;=Выплаты!$L$8,'Состав ВТК'!L77&lt;=Выплаты!$L$8),ROUND(IF('счеталка премий'!I74&lt;0,0,('Расчет участников НИР'!$H84*'счеталка премий'!P74)),2),0),IF(AND('Состав ВТК'!Q77&gt;=Выплаты!$L$8,'Состав ВТК'!P77&lt;=Выплаты!$L$8),ROUND(IF('счеталка премий'!I74&lt;0,0,('Расчет участников НИР'!$H84*'счеталка премий'!P74)),2),0)),2),0)</f>
        <v>0</v>
      </c>
      <c r="N82" s="310">
        <f>IFERROR(ROUND(IF(M82=0,ROUND(('Расчет участников НИР'!$H84*'счеталка премий'!P74),2)-M82,0),2),0)</f>
        <v>0</v>
      </c>
      <c r="O82" s="310">
        <f t="shared" si="16"/>
        <v>0</v>
      </c>
      <c r="P82" s="306"/>
      <c r="Q82" s="310" t="str">
        <f t="shared" si="22"/>
        <v>0,00</v>
      </c>
      <c r="R82" s="310">
        <f>IFERROR(ROUND(IF('Состав ВТК'!P77="",IF(AND('Состав ВТК'!M77&gt;=Выплаты!$Q$8,'Состав ВТК'!L77&lt;=Выплаты!$Q$8),ROUND(IF('счеталка премий'!J74&lt;0,0,('Расчет участников НИР'!$H84*'счеталка премий'!Q74)),2),0),IF(AND('Состав ВТК'!Q77&gt;=Выплаты!$Q$8,'Состав ВТК'!P77&lt;=Выплаты!$Q$8),ROUND(IF('счеталка премий'!J74&lt;0,0,('Расчет участников НИР'!$H84*'счеталка премий'!Q74)),2),0)),2),0)</f>
        <v>0</v>
      </c>
      <c r="S82" s="310">
        <f>IFERROR(ROUND(IF(R82=0,ROUND(('Расчет участников НИР'!$H84*'счеталка премий'!Q74),2)-R82,0),2),0)</f>
        <v>0</v>
      </c>
      <c r="T82" s="310">
        <f t="shared" si="17"/>
        <v>0</v>
      </c>
      <c r="U82" s="306"/>
      <c r="V82" s="310">
        <f t="shared" si="23"/>
        <v>0</v>
      </c>
      <c r="W82" s="310" t="str">
        <f t="shared" si="24"/>
        <v>0,00</v>
      </c>
      <c r="X82" s="310">
        <f>IFERROR(ROUND(IF('Состав ВТК'!P77="",IF('Состав ВТК'!M77&gt;=Выплаты!$V$8,ROUND(IF('счеталка премий'!K74&lt;0,0,'Расчет участников НИР'!$H84*'счеталка премий'!R74),2),0),IF('Состав ВТК'!Q77&gt;=Выплаты!$V$8,ROUND(IF('счеталка премий'!K74&lt;0,0,'Расчет участников НИР'!$H84*'счеталка премий'!R74),2),0)),2),0)</f>
        <v>0</v>
      </c>
      <c r="Y82" s="310">
        <f>IFERROR(ROUND(IF(OR(IF('Состав ВТК'!L77="",AND('Состав ВТК'!Q77&lt;=Выплаты!$V$8,'Состав ВТК'!P77&lt;Выплаты!$V$8),AND('Состав ВТК'!M77&lt;=Выплаты!$V$8,'Состав ВТК'!$K77=справочник!$A$5)),W82=0),0,$Y$12/(Распределение!$N$11-SUMIF($W$14:$W$114,0,Распределение!$N$13:$N$125))*Распределение!N81),2),"0,00")</f>
        <v>0</v>
      </c>
      <c r="Z82" s="310">
        <f>IFERROR(ROUND(IF(X82=0,ROUND(('Расчет участников НИР'!$H84*'счеталка премий'!R74),2)-X82,0),2),0)</f>
        <v>0</v>
      </c>
      <c r="AA82" s="306"/>
      <c r="AB82" s="309">
        <f t="shared" si="25"/>
        <v>0</v>
      </c>
      <c r="AC82" s="309">
        <f t="shared" si="18"/>
        <v>0</v>
      </c>
      <c r="AE82" s="308"/>
    </row>
    <row r="83" spans="1:31" hidden="1" x14ac:dyDescent="0.25">
      <c r="A83" s="247">
        <v>70</v>
      </c>
      <c r="B83" s="602">
        <f>'Состав ВТК'!$B78</f>
        <v>0</v>
      </c>
      <c r="C83" s="310" t="str">
        <f>IFERROR(VLOOKUP($B83,'Состав ВТК'!$B$9:$I$108,7,FALSE),"-")</f>
        <v>-</v>
      </c>
      <c r="D83" s="310" t="str">
        <f>IFERROR(VLOOKUP($B83,'Состав ВТК'!$B$9:$I$108,8,FALSE),"-")</f>
        <v>-</v>
      </c>
      <c r="E83" s="310">
        <f>ROUND(IF($B83='Расчет участников НИР'!$A85,'Расчет участников НИР'!$M85),2)</f>
        <v>0</v>
      </c>
      <c r="F83" s="310">
        <f>ROUND('Расчет участников НИР'!$H85*50%-$E83,2)</f>
        <v>0</v>
      </c>
      <c r="G83" s="310" t="str">
        <f t="shared" si="19"/>
        <v>0,00</v>
      </c>
      <c r="H83" s="310">
        <f>IFERROR(ROUND(IF('Состав ВТК'!P78="",IF(AND('Состав ВТК'!M78&gt;=Выплаты!$G$8,'Состав ВТК'!L78&lt;=Выплаты!$G$8),ROUND(('Расчет участников НИР'!$H85*'счеталка премий'!O75),2),0),IF(AND('Состав ВТК'!Q78&gt;=Выплаты!$G$8,'Состав ВТК'!P78&lt;=Выплаты!$G$8),ROUND(('Расчет участников НИР'!$H85*'счеталка премий'!O75),2),0)),2),0)</f>
        <v>0</v>
      </c>
      <c r="I83" s="310">
        <f>IFERROR(ROUND(IF(H83=0,ROUND(('Расчет участников НИР'!$H85*'счеталка премий'!O75),2)-H83,0),2),0)</f>
        <v>0</v>
      </c>
      <c r="J83" s="310">
        <f t="shared" si="20"/>
        <v>0</v>
      </c>
      <c r="K83" s="306"/>
      <c r="L83" s="310" t="str">
        <f t="shared" si="21"/>
        <v>0,00</v>
      </c>
      <c r="M83" s="310">
        <f>IFERROR(ROUND(IF('Состав ВТК'!P78="",IF(AND('Состав ВТК'!M78&gt;=Выплаты!$L$8,'Состав ВТК'!L78&lt;=Выплаты!$L$8),ROUND(IF('счеталка премий'!I75&lt;0,0,('Расчет участников НИР'!$H85*'счеталка премий'!P75)),2),0),IF(AND('Состав ВТК'!Q78&gt;=Выплаты!$L$8,'Состав ВТК'!P78&lt;=Выплаты!$L$8),ROUND(IF('счеталка премий'!I75&lt;0,0,('Расчет участников НИР'!$H85*'счеталка премий'!P75)),2),0)),2),0)</f>
        <v>0</v>
      </c>
      <c r="N83" s="310">
        <f>IFERROR(ROUND(IF(M83=0,ROUND(('Расчет участников НИР'!$H85*'счеталка премий'!P75),2)-M83,0),2),0)</f>
        <v>0</v>
      </c>
      <c r="O83" s="310">
        <f t="shared" si="16"/>
        <v>0</v>
      </c>
      <c r="P83" s="306"/>
      <c r="Q83" s="310" t="str">
        <f t="shared" si="22"/>
        <v>0,00</v>
      </c>
      <c r="R83" s="310">
        <f>IFERROR(ROUND(IF('Состав ВТК'!P78="",IF(AND('Состав ВТК'!M78&gt;=Выплаты!$Q$8,'Состав ВТК'!L78&lt;=Выплаты!$Q$8),ROUND(IF('счеталка премий'!J75&lt;0,0,('Расчет участников НИР'!$H85*'счеталка премий'!Q75)),2),0),IF(AND('Состав ВТК'!Q78&gt;=Выплаты!$Q$8,'Состав ВТК'!P78&lt;=Выплаты!$Q$8),ROUND(IF('счеталка премий'!J75&lt;0,0,('Расчет участников НИР'!$H85*'счеталка премий'!Q75)),2),0)),2),0)</f>
        <v>0</v>
      </c>
      <c r="S83" s="310">
        <f>IFERROR(ROUND(IF(R83=0,ROUND(('Расчет участников НИР'!$H85*'счеталка премий'!Q75),2)-R83,0),2),0)</f>
        <v>0</v>
      </c>
      <c r="T83" s="310">
        <f t="shared" si="17"/>
        <v>0</v>
      </c>
      <c r="U83" s="306"/>
      <c r="V83" s="310">
        <f t="shared" si="23"/>
        <v>0</v>
      </c>
      <c r="W83" s="310" t="str">
        <f t="shared" si="24"/>
        <v>0,00</v>
      </c>
      <c r="X83" s="310">
        <f>IFERROR(ROUND(IF('Состав ВТК'!P78="",IF('Состав ВТК'!M78&gt;=Выплаты!$V$8,ROUND(IF('счеталка премий'!K75&lt;0,0,'Расчет участников НИР'!$H85*'счеталка премий'!R75),2),0),IF('Состав ВТК'!Q78&gt;=Выплаты!$V$8,ROUND(IF('счеталка премий'!K75&lt;0,0,'Расчет участников НИР'!$H85*'счеталка премий'!R75),2),0)),2),0)</f>
        <v>0</v>
      </c>
      <c r="Y83" s="310">
        <f>IFERROR(ROUND(IF(OR(IF('Состав ВТК'!L78="",AND('Состав ВТК'!Q78&lt;=Выплаты!$V$8,'Состав ВТК'!P78&lt;Выплаты!$V$8),AND('Состав ВТК'!M78&lt;=Выплаты!$V$8,'Состав ВТК'!$K78=справочник!$A$5)),W83=0),0,$Y$12/(Распределение!$N$11-SUMIF($W$14:$W$114,0,Распределение!$N$13:$N$125))*Распределение!N82),2),"0,00")</f>
        <v>0</v>
      </c>
      <c r="Z83" s="310">
        <f>IFERROR(ROUND(IF(X83=0,ROUND(('Расчет участников НИР'!$H85*'счеталка премий'!R75),2)-X83,0),2),0)</f>
        <v>0</v>
      </c>
      <c r="AA83" s="306"/>
      <c r="AB83" s="309">
        <f t="shared" si="25"/>
        <v>0</v>
      </c>
      <c r="AC83" s="309">
        <f t="shared" si="18"/>
        <v>0</v>
      </c>
      <c r="AE83" s="308"/>
    </row>
    <row r="84" spans="1:31" hidden="1" x14ac:dyDescent="0.25">
      <c r="A84" s="247">
        <v>71</v>
      </c>
      <c r="B84" s="602">
        <f>'Состав ВТК'!$B79</f>
        <v>0</v>
      </c>
      <c r="C84" s="310" t="str">
        <f>IFERROR(VLOOKUP($B84,'Состав ВТК'!$B$9:$I$108,7,FALSE),"-")</f>
        <v>-</v>
      </c>
      <c r="D84" s="310" t="str">
        <f>IFERROR(VLOOKUP($B84,'Состав ВТК'!$B$9:$I$108,8,FALSE),"-")</f>
        <v>-</v>
      </c>
      <c r="E84" s="310">
        <f>ROUND(IF($B84='Расчет участников НИР'!$A86,'Расчет участников НИР'!$M86),2)</f>
        <v>0</v>
      </c>
      <c r="F84" s="310">
        <f>ROUND('Расчет участников НИР'!$H86*50%-$E84,2)</f>
        <v>0</v>
      </c>
      <c r="G84" s="310" t="str">
        <f t="shared" si="19"/>
        <v>0,00</v>
      </c>
      <c r="H84" s="310">
        <f>IFERROR(ROUND(IF('Состав ВТК'!P79="",IF(AND('Состав ВТК'!M79&gt;=Выплаты!$G$8,'Состав ВТК'!L79&lt;=Выплаты!$G$8),ROUND(('Расчет участников НИР'!$H86*'счеталка премий'!O76),2),0),IF(AND('Состав ВТК'!Q79&gt;=Выплаты!$G$8,'Состав ВТК'!P79&lt;=Выплаты!$G$8),ROUND(('Расчет участников НИР'!$H86*'счеталка премий'!O76),2),0)),2),0)</f>
        <v>0</v>
      </c>
      <c r="I84" s="310">
        <f>IFERROR(ROUND(IF(H84=0,ROUND(('Расчет участников НИР'!$H86*'счеталка премий'!O76),2)-H84,0),2),0)</f>
        <v>0</v>
      </c>
      <c r="J84" s="310">
        <f t="shared" si="20"/>
        <v>0</v>
      </c>
      <c r="K84" s="306"/>
      <c r="L84" s="310" t="str">
        <f t="shared" si="21"/>
        <v>0,00</v>
      </c>
      <c r="M84" s="310">
        <f>IFERROR(ROUND(IF('Состав ВТК'!P79="",IF(AND('Состав ВТК'!M79&gt;=Выплаты!$L$8,'Состав ВТК'!L79&lt;=Выплаты!$L$8),ROUND(IF('счеталка премий'!I76&lt;0,0,('Расчет участников НИР'!$H86*'счеталка премий'!P76)),2),0),IF(AND('Состав ВТК'!Q79&gt;=Выплаты!$L$8,'Состав ВТК'!P79&lt;=Выплаты!$L$8),ROUND(IF('счеталка премий'!I76&lt;0,0,('Расчет участников НИР'!$H86*'счеталка премий'!P76)),2),0)),2),0)</f>
        <v>0</v>
      </c>
      <c r="N84" s="310">
        <f>IFERROR(ROUND(IF(M84=0,ROUND(('Расчет участников НИР'!$H86*'счеталка премий'!P76),2)-M84,0),2),0)</f>
        <v>0</v>
      </c>
      <c r="O84" s="310">
        <f t="shared" si="16"/>
        <v>0</v>
      </c>
      <c r="P84" s="306"/>
      <c r="Q84" s="310" t="str">
        <f t="shared" si="22"/>
        <v>0,00</v>
      </c>
      <c r="R84" s="310">
        <f>IFERROR(ROUND(IF('Состав ВТК'!P79="",IF(AND('Состав ВТК'!M79&gt;=Выплаты!$Q$8,'Состав ВТК'!L79&lt;=Выплаты!$Q$8),ROUND(IF('счеталка премий'!J76&lt;0,0,('Расчет участников НИР'!$H86*'счеталка премий'!Q76)),2),0),IF(AND('Состав ВТК'!Q79&gt;=Выплаты!$Q$8,'Состав ВТК'!P79&lt;=Выплаты!$Q$8),ROUND(IF('счеталка премий'!J76&lt;0,0,('Расчет участников НИР'!$H86*'счеталка премий'!Q76)),2),0)),2),0)</f>
        <v>0</v>
      </c>
      <c r="S84" s="310">
        <f>IFERROR(ROUND(IF(R84=0,ROUND(('Расчет участников НИР'!$H86*'счеталка премий'!Q76),2)-R84,0),2),0)</f>
        <v>0</v>
      </c>
      <c r="T84" s="310">
        <f t="shared" si="17"/>
        <v>0</v>
      </c>
      <c r="U84" s="306"/>
      <c r="V84" s="310">
        <f t="shared" si="23"/>
        <v>0</v>
      </c>
      <c r="W84" s="310" t="str">
        <f t="shared" si="24"/>
        <v>0,00</v>
      </c>
      <c r="X84" s="310">
        <f>IFERROR(ROUND(IF('Состав ВТК'!P79="",IF('Состав ВТК'!M79&gt;=Выплаты!$V$8,ROUND(IF('счеталка премий'!K76&lt;0,0,'Расчет участников НИР'!$H86*'счеталка премий'!R76),2),0),IF('Состав ВТК'!Q79&gt;=Выплаты!$V$8,ROUND(IF('счеталка премий'!K76&lt;0,0,'Расчет участников НИР'!$H86*'счеталка премий'!R76),2),0)),2),0)</f>
        <v>0</v>
      </c>
      <c r="Y84" s="310">
        <f>IFERROR(ROUND(IF(OR(IF('Состав ВТК'!L79="",AND('Состав ВТК'!Q79&lt;=Выплаты!$V$8,'Состав ВТК'!P79&lt;Выплаты!$V$8),AND('Состав ВТК'!M79&lt;=Выплаты!$V$8,'Состав ВТК'!$K79=справочник!$A$5)),W84=0),0,$Y$12/(Распределение!$N$11-SUMIF($W$14:$W$114,0,Распределение!$N$13:$N$125))*Распределение!N83),2),"0,00")</f>
        <v>0</v>
      </c>
      <c r="Z84" s="310">
        <f>IFERROR(ROUND(IF(X84=0,ROUND(('Расчет участников НИР'!$H86*'счеталка премий'!R76),2)-X84,0),2),0)</f>
        <v>0</v>
      </c>
      <c r="AA84" s="306"/>
      <c r="AB84" s="309">
        <f t="shared" si="25"/>
        <v>0</v>
      </c>
      <c r="AC84" s="309">
        <f t="shared" si="18"/>
        <v>0</v>
      </c>
      <c r="AE84" s="308"/>
    </row>
    <row r="85" spans="1:31" hidden="1" x14ac:dyDescent="0.25">
      <c r="A85" s="247">
        <v>72</v>
      </c>
      <c r="B85" s="602">
        <f>'Состав ВТК'!$B80</f>
        <v>0</v>
      </c>
      <c r="C85" s="310" t="str">
        <f>IFERROR(VLOOKUP($B85,'Состав ВТК'!$B$9:$I$108,7,FALSE),"-")</f>
        <v>-</v>
      </c>
      <c r="D85" s="310" t="str">
        <f>IFERROR(VLOOKUP($B85,'Состав ВТК'!$B$9:$I$108,8,FALSE),"-")</f>
        <v>-</v>
      </c>
      <c r="E85" s="310">
        <f>ROUND(IF($B85='Расчет участников НИР'!$A87,'Расчет участников НИР'!$M87),2)</f>
        <v>0</v>
      </c>
      <c r="F85" s="310">
        <f>ROUND('Расчет участников НИР'!$H87*50%-$E85,2)</f>
        <v>0</v>
      </c>
      <c r="G85" s="310" t="str">
        <f t="shared" si="19"/>
        <v>0,00</v>
      </c>
      <c r="H85" s="310">
        <f>IFERROR(ROUND(IF('Состав ВТК'!P80="",IF(AND('Состав ВТК'!M80&gt;=Выплаты!$G$8,'Состав ВТК'!L80&lt;=Выплаты!$G$8),ROUND(('Расчет участников НИР'!$H87*'счеталка премий'!O77),2),0),IF(AND('Состав ВТК'!Q80&gt;=Выплаты!$G$8,'Состав ВТК'!P80&lt;=Выплаты!$G$8),ROUND(('Расчет участников НИР'!$H87*'счеталка премий'!O77),2),0)),2),0)</f>
        <v>0</v>
      </c>
      <c r="I85" s="310">
        <f>IFERROR(ROUND(IF(H85=0,ROUND(('Расчет участников НИР'!$H87*'счеталка премий'!O77),2)-H85,0),2),0)</f>
        <v>0</v>
      </c>
      <c r="J85" s="310">
        <f t="shared" si="20"/>
        <v>0</v>
      </c>
      <c r="K85" s="306"/>
      <c r="L85" s="310" t="str">
        <f t="shared" si="21"/>
        <v>0,00</v>
      </c>
      <c r="M85" s="310">
        <f>IFERROR(ROUND(IF('Состав ВТК'!P80="",IF(AND('Состав ВТК'!M80&gt;=Выплаты!$L$8,'Состав ВТК'!L80&lt;=Выплаты!$L$8),ROUND(IF('счеталка премий'!I77&lt;0,0,('Расчет участников НИР'!$H87*'счеталка премий'!P77)),2),0),IF(AND('Состав ВТК'!Q80&gt;=Выплаты!$L$8,'Состав ВТК'!P80&lt;=Выплаты!$L$8),ROUND(IF('счеталка премий'!I77&lt;0,0,('Расчет участников НИР'!$H87*'счеталка премий'!P77)),2),0)),2),0)</f>
        <v>0</v>
      </c>
      <c r="N85" s="310">
        <f>IFERROR(ROUND(IF(M85=0,ROUND(('Расчет участников НИР'!$H87*'счеталка премий'!P77),2)-M85,0),2),0)</f>
        <v>0</v>
      </c>
      <c r="O85" s="310">
        <f t="shared" si="16"/>
        <v>0</v>
      </c>
      <c r="P85" s="306"/>
      <c r="Q85" s="310" t="str">
        <f t="shared" si="22"/>
        <v>0,00</v>
      </c>
      <c r="R85" s="310">
        <f>IFERROR(ROUND(IF('Состав ВТК'!P80="",IF(AND('Состав ВТК'!M80&gt;=Выплаты!$Q$8,'Состав ВТК'!L80&lt;=Выплаты!$Q$8),ROUND(IF('счеталка премий'!J77&lt;0,0,('Расчет участников НИР'!$H87*'счеталка премий'!Q77)),2),0),IF(AND('Состав ВТК'!Q80&gt;=Выплаты!$Q$8,'Состав ВТК'!P80&lt;=Выплаты!$Q$8),ROUND(IF('счеталка премий'!J77&lt;0,0,('Расчет участников НИР'!$H87*'счеталка премий'!Q77)),2),0)),2),0)</f>
        <v>0</v>
      </c>
      <c r="S85" s="310">
        <f>IFERROR(ROUND(IF(R85=0,ROUND(('Расчет участников НИР'!$H87*'счеталка премий'!Q77),2)-R85,0),2),0)</f>
        <v>0</v>
      </c>
      <c r="T85" s="310">
        <f t="shared" si="17"/>
        <v>0</v>
      </c>
      <c r="U85" s="306"/>
      <c r="V85" s="310">
        <f t="shared" si="23"/>
        <v>0</v>
      </c>
      <c r="W85" s="310" t="str">
        <f t="shared" si="24"/>
        <v>0,00</v>
      </c>
      <c r="X85" s="310">
        <f>IFERROR(ROUND(IF('Состав ВТК'!P80="",IF('Состав ВТК'!M80&gt;=Выплаты!$V$8,ROUND(IF('счеталка премий'!K77&lt;0,0,'Расчет участников НИР'!$H87*'счеталка премий'!R77),2),0),IF('Состав ВТК'!Q80&gt;=Выплаты!$V$8,ROUND(IF('счеталка премий'!K77&lt;0,0,'Расчет участников НИР'!$H87*'счеталка премий'!R77),2),0)),2),0)</f>
        <v>0</v>
      </c>
      <c r="Y85" s="310">
        <f>IFERROR(ROUND(IF(OR(IF('Состав ВТК'!L80="",AND('Состав ВТК'!Q80&lt;=Выплаты!$V$8,'Состав ВТК'!P80&lt;Выплаты!$V$8),AND('Состав ВТК'!M80&lt;=Выплаты!$V$8,'Состав ВТК'!$K80=справочник!$A$5)),W85=0),0,$Y$12/(Распределение!$N$11-SUMIF($W$14:$W$114,0,Распределение!$N$13:$N$125))*Распределение!N84),2),"0,00")</f>
        <v>0</v>
      </c>
      <c r="Z85" s="310">
        <f>IFERROR(ROUND(IF(X85=0,ROUND(('Расчет участников НИР'!$H87*'счеталка премий'!R77),2)-X85,0),2),0)</f>
        <v>0</v>
      </c>
      <c r="AA85" s="306"/>
      <c r="AB85" s="309">
        <f t="shared" si="25"/>
        <v>0</v>
      </c>
      <c r="AC85" s="309">
        <f t="shared" si="18"/>
        <v>0</v>
      </c>
      <c r="AE85" s="308"/>
    </row>
    <row r="86" spans="1:31" hidden="1" x14ac:dyDescent="0.25">
      <c r="A86" s="247">
        <v>73</v>
      </c>
      <c r="B86" s="602">
        <f>'Состав ВТК'!$B81</f>
        <v>0</v>
      </c>
      <c r="C86" s="310" t="str">
        <f>IFERROR(VLOOKUP($B86,'Состав ВТК'!$B$9:$I$108,7,FALSE),"-")</f>
        <v>-</v>
      </c>
      <c r="D86" s="310" t="str">
        <f>IFERROR(VLOOKUP($B86,'Состав ВТК'!$B$9:$I$108,8,FALSE),"-")</f>
        <v>-</v>
      </c>
      <c r="E86" s="310">
        <f>ROUND(IF($B86='Расчет участников НИР'!$A88,'Расчет участников НИР'!$M88),2)</f>
        <v>0</v>
      </c>
      <c r="F86" s="310">
        <f>ROUND('Расчет участников НИР'!$H88*50%-$E86,2)</f>
        <v>0</v>
      </c>
      <c r="G86" s="310" t="str">
        <f t="shared" si="19"/>
        <v>0,00</v>
      </c>
      <c r="H86" s="310">
        <f>IFERROR(ROUND(IF('Состав ВТК'!P81="",IF(AND('Состав ВТК'!M81&gt;=Выплаты!$G$8,'Состав ВТК'!L81&lt;=Выплаты!$G$8),ROUND(('Расчет участников НИР'!$H88*'счеталка премий'!O78),2),0),IF(AND('Состав ВТК'!Q81&gt;=Выплаты!$G$8,'Состав ВТК'!P81&lt;=Выплаты!$G$8),ROUND(('Расчет участников НИР'!$H88*'счеталка премий'!O78),2),0)),2),0)</f>
        <v>0</v>
      </c>
      <c r="I86" s="310">
        <f>IFERROR(ROUND(IF(H86=0,ROUND(('Расчет участников НИР'!$H88*'счеталка премий'!O78),2)-H86,0),2),0)</f>
        <v>0</v>
      </c>
      <c r="J86" s="310">
        <f t="shared" si="20"/>
        <v>0</v>
      </c>
      <c r="K86" s="306"/>
      <c r="L86" s="310" t="str">
        <f t="shared" si="21"/>
        <v>0,00</v>
      </c>
      <c r="M86" s="310">
        <f>IFERROR(ROUND(IF('Состав ВТК'!P81="",IF(AND('Состав ВТК'!M81&gt;=Выплаты!$L$8,'Состав ВТК'!L81&lt;=Выплаты!$L$8),ROUND(IF('счеталка премий'!I78&lt;0,0,('Расчет участников НИР'!$H88*'счеталка премий'!P78)),2),0),IF(AND('Состав ВТК'!Q81&gt;=Выплаты!$L$8,'Состав ВТК'!P81&lt;=Выплаты!$L$8),ROUND(IF('счеталка премий'!I78&lt;0,0,('Расчет участников НИР'!$H88*'счеталка премий'!P78)),2),0)),2),0)</f>
        <v>0</v>
      </c>
      <c r="N86" s="310">
        <f>IFERROR(ROUND(IF(M86=0,ROUND(('Расчет участников НИР'!$H88*'счеталка премий'!P78),2)-M86,0),2),0)</f>
        <v>0</v>
      </c>
      <c r="O86" s="310">
        <f t="shared" si="16"/>
        <v>0</v>
      </c>
      <c r="P86" s="306"/>
      <c r="Q86" s="310" t="str">
        <f t="shared" si="22"/>
        <v>0,00</v>
      </c>
      <c r="R86" s="310">
        <f>IFERROR(ROUND(IF('Состав ВТК'!P81="",IF(AND('Состав ВТК'!M81&gt;=Выплаты!$Q$8,'Состав ВТК'!L81&lt;=Выплаты!$Q$8),ROUND(IF('счеталка премий'!J78&lt;0,0,('Расчет участников НИР'!$H88*'счеталка премий'!Q78)),2),0),IF(AND('Состав ВТК'!Q81&gt;=Выплаты!$Q$8,'Состав ВТК'!P81&lt;=Выплаты!$Q$8),ROUND(IF('счеталка премий'!J78&lt;0,0,('Расчет участников НИР'!$H88*'счеталка премий'!Q78)),2),0)),2),0)</f>
        <v>0</v>
      </c>
      <c r="S86" s="310">
        <f>IFERROR(ROUND(IF(R86=0,ROUND(('Расчет участников НИР'!$H88*'счеталка премий'!Q78),2)-R86,0),2),0)</f>
        <v>0</v>
      </c>
      <c r="T86" s="310">
        <f t="shared" si="17"/>
        <v>0</v>
      </c>
      <c r="U86" s="306"/>
      <c r="V86" s="310">
        <f t="shared" si="23"/>
        <v>0</v>
      </c>
      <c r="W86" s="310" t="str">
        <f t="shared" si="24"/>
        <v>0,00</v>
      </c>
      <c r="X86" s="310">
        <f>IFERROR(ROUND(IF('Состав ВТК'!P81="",IF('Состав ВТК'!M81&gt;=Выплаты!$V$8,ROUND(IF('счеталка премий'!K78&lt;0,0,'Расчет участников НИР'!$H88*'счеталка премий'!R78),2),0),IF('Состав ВТК'!Q81&gt;=Выплаты!$V$8,ROUND(IF('счеталка премий'!K78&lt;0,0,'Расчет участников НИР'!$H88*'счеталка премий'!R78),2),0)),2),0)</f>
        <v>0</v>
      </c>
      <c r="Y86" s="310">
        <f>IFERROR(ROUND(IF(OR(IF('Состав ВТК'!L81="",AND('Состав ВТК'!Q81&lt;=Выплаты!$V$8,'Состав ВТК'!P81&lt;Выплаты!$V$8),AND('Состав ВТК'!M81&lt;=Выплаты!$V$8,'Состав ВТК'!$K81=справочник!$A$5)),W86=0),0,$Y$12/(Распределение!$N$11-SUMIF($W$14:$W$114,0,Распределение!$N$13:$N$125))*Распределение!N85),2),"0,00")</f>
        <v>0</v>
      </c>
      <c r="Z86" s="310">
        <f>IFERROR(ROUND(IF(X86=0,ROUND(('Расчет участников НИР'!$H88*'счеталка премий'!R78),2)-X86,0),2),0)</f>
        <v>0</v>
      </c>
      <c r="AA86" s="306"/>
      <c r="AB86" s="309">
        <f t="shared" si="25"/>
        <v>0</v>
      </c>
      <c r="AC86" s="309">
        <f t="shared" si="18"/>
        <v>0</v>
      </c>
      <c r="AE86" s="308"/>
    </row>
    <row r="87" spans="1:31" hidden="1" x14ac:dyDescent="0.25">
      <c r="A87" s="247">
        <v>74</v>
      </c>
      <c r="B87" s="602">
        <f>'Состав ВТК'!$B82</f>
        <v>0</v>
      </c>
      <c r="C87" s="310" t="str">
        <f>IFERROR(VLOOKUP($B87,'Состав ВТК'!$B$9:$I$108,7,FALSE),"-")</f>
        <v>-</v>
      </c>
      <c r="D87" s="310" t="str">
        <f>IFERROR(VLOOKUP($B87,'Состав ВТК'!$B$9:$I$108,8,FALSE),"-")</f>
        <v>-</v>
      </c>
      <c r="E87" s="310">
        <f>ROUND(IF($B87='Расчет участников НИР'!$A89,'Расчет участников НИР'!$M89),2)</f>
        <v>0</v>
      </c>
      <c r="F87" s="310">
        <f>ROUND('Расчет участников НИР'!$H89*50%-$E87,2)</f>
        <v>0</v>
      </c>
      <c r="G87" s="310" t="str">
        <f t="shared" si="19"/>
        <v>0,00</v>
      </c>
      <c r="H87" s="310">
        <f>IFERROR(ROUND(IF('Состав ВТК'!P82="",IF(AND('Состав ВТК'!M82&gt;=Выплаты!$G$8,'Состав ВТК'!L82&lt;=Выплаты!$G$8),ROUND(('Расчет участников НИР'!$H89*'счеталка премий'!O79),2),0),IF(AND('Состав ВТК'!Q82&gt;=Выплаты!$G$8,'Состав ВТК'!P82&lt;=Выплаты!$G$8),ROUND(('Расчет участников НИР'!$H89*'счеталка премий'!O79),2),0)),2),0)</f>
        <v>0</v>
      </c>
      <c r="I87" s="310">
        <f>IFERROR(ROUND(IF(H87=0,ROUND(('Расчет участников НИР'!$H89*'счеталка премий'!O79),2)-H87,0),2),0)</f>
        <v>0</v>
      </c>
      <c r="J87" s="310">
        <f t="shared" si="20"/>
        <v>0</v>
      </c>
      <c r="K87" s="306"/>
      <c r="L87" s="310" t="str">
        <f t="shared" si="21"/>
        <v>0,00</v>
      </c>
      <c r="M87" s="310">
        <f>IFERROR(ROUND(IF('Состав ВТК'!P82="",IF(AND('Состав ВТК'!M82&gt;=Выплаты!$L$8,'Состав ВТК'!L82&lt;=Выплаты!$L$8),ROUND(IF('счеталка премий'!I79&lt;0,0,('Расчет участников НИР'!$H89*'счеталка премий'!P79)),2),0),IF(AND('Состав ВТК'!Q82&gt;=Выплаты!$L$8,'Состав ВТК'!P82&lt;=Выплаты!$L$8),ROUND(IF('счеталка премий'!I79&lt;0,0,('Расчет участников НИР'!$H89*'счеталка премий'!P79)),2),0)),2),0)</f>
        <v>0</v>
      </c>
      <c r="N87" s="310">
        <f>IFERROR(ROUND(IF(M87=0,ROUND(('Расчет участников НИР'!$H89*'счеталка премий'!P79),2)-M87,0),2),0)</f>
        <v>0</v>
      </c>
      <c r="O87" s="310">
        <f t="shared" si="16"/>
        <v>0</v>
      </c>
      <c r="P87" s="306"/>
      <c r="Q87" s="310" t="str">
        <f t="shared" si="22"/>
        <v>0,00</v>
      </c>
      <c r="R87" s="310">
        <f>IFERROR(ROUND(IF('Состав ВТК'!P82="",IF(AND('Состав ВТК'!M82&gt;=Выплаты!$Q$8,'Состав ВТК'!L82&lt;=Выплаты!$Q$8),ROUND(IF('счеталка премий'!J79&lt;0,0,('Расчет участников НИР'!$H89*'счеталка премий'!Q79)),2),0),IF(AND('Состав ВТК'!Q82&gt;=Выплаты!$Q$8,'Состав ВТК'!P82&lt;=Выплаты!$Q$8),ROUND(IF('счеталка премий'!J79&lt;0,0,('Расчет участников НИР'!$H89*'счеталка премий'!Q79)),2),0)),2),0)</f>
        <v>0</v>
      </c>
      <c r="S87" s="310">
        <f>IFERROR(ROUND(IF(R87=0,ROUND(('Расчет участников НИР'!$H89*'счеталка премий'!Q79),2)-R87,0),2),0)</f>
        <v>0</v>
      </c>
      <c r="T87" s="310">
        <f t="shared" si="17"/>
        <v>0</v>
      </c>
      <c r="U87" s="306"/>
      <c r="V87" s="310">
        <f t="shared" si="23"/>
        <v>0</v>
      </c>
      <c r="W87" s="310" t="str">
        <f t="shared" si="24"/>
        <v>0,00</v>
      </c>
      <c r="X87" s="310">
        <f>IFERROR(ROUND(IF('Состав ВТК'!P82="",IF('Состав ВТК'!M82&gt;=Выплаты!$V$8,ROUND(IF('счеталка премий'!K79&lt;0,0,'Расчет участников НИР'!$H89*'счеталка премий'!R79),2),0),IF('Состав ВТК'!Q82&gt;=Выплаты!$V$8,ROUND(IF('счеталка премий'!K79&lt;0,0,'Расчет участников НИР'!$H89*'счеталка премий'!R79),2),0)),2),0)</f>
        <v>0</v>
      </c>
      <c r="Y87" s="310">
        <f>IFERROR(ROUND(IF(OR(IF('Состав ВТК'!L82="",AND('Состав ВТК'!Q82&lt;=Выплаты!$V$8,'Состав ВТК'!P82&lt;Выплаты!$V$8),AND('Состав ВТК'!M82&lt;=Выплаты!$V$8,'Состав ВТК'!$K82=справочник!$A$5)),W87=0),0,$Y$12/(Распределение!$N$11-SUMIF($W$14:$W$114,0,Распределение!$N$13:$N$125))*Распределение!N86),2),"0,00")</f>
        <v>0</v>
      </c>
      <c r="Z87" s="310">
        <f>IFERROR(ROUND(IF(X87=0,ROUND(('Расчет участников НИР'!$H89*'счеталка премий'!R79),2)-X87,0),2),0)</f>
        <v>0</v>
      </c>
      <c r="AA87" s="306"/>
      <c r="AB87" s="309">
        <f t="shared" si="25"/>
        <v>0</v>
      </c>
      <c r="AC87" s="309">
        <f t="shared" si="18"/>
        <v>0</v>
      </c>
      <c r="AE87" s="308"/>
    </row>
    <row r="88" spans="1:31" hidden="1" x14ac:dyDescent="0.25">
      <c r="A88" s="247">
        <v>75</v>
      </c>
      <c r="B88" s="602">
        <f>'Состав ВТК'!$B83</f>
        <v>0</v>
      </c>
      <c r="C88" s="310" t="str">
        <f>IFERROR(VLOOKUP($B88,'Состав ВТК'!$B$9:$I$108,7,FALSE),"-")</f>
        <v>-</v>
      </c>
      <c r="D88" s="310" t="str">
        <f>IFERROR(VLOOKUP($B88,'Состав ВТК'!$B$9:$I$108,8,FALSE),"-")</f>
        <v>-</v>
      </c>
      <c r="E88" s="310">
        <f>ROUND(IF($B88='Расчет участников НИР'!$A90,'Расчет участников НИР'!$M90),2)</f>
        <v>0</v>
      </c>
      <c r="F88" s="310">
        <f>ROUND('Расчет участников НИР'!$H90*50%-$E88,2)</f>
        <v>0</v>
      </c>
      <c r="G88" s="310" t="str">
        <f t="shared" si="19"/>
        <v>0,00</v>
      </c>
      <c r="H88" s="310">
        <f>IFERROR(ROUND(IF('Состав ВТК'!P83="",IF(AND('Состав ВТК'!M83&gt;=Выплаты!$G$8,'Состав ВТК'!L83&lt;=Выплаты!$G$8),ROUND(('Расчет участников НИР'!$H90*'счеталка премий'!O80),2),0),IF(AND('Состав ВТК'!Q83&gt;=Выплаты!$G$8,'Состав ВТК'!P83&lt;=Выплаты!$G$8),ROUND(('Расчет участников НИР'!$H90*'счеталка премий'!O80),2),0)),2),0)</f>
        <v>0</v>
      </c>
      <c r="I88" s="310">
        <f>IFERROR(ROUND(IF(H88=0,ROUND(('Расчет участников НИР'!$H90*'счеталка премий'!O80),2)-H88,0),2),0)</f>
        <v>0</v>
      </c>
      <c r="J88" s="310">
        <f t="shared" si="20"/>
        <v>0</v>
      </c>
      <c r="K88" s="306"/>
      <c r="L88" s="310" t="str">
        <f t="shared" si="21"/>
        <v>0,00</v>
      </c>
      <c r="M88" s="310">
        <f>IFERROR(ROUND(IF('Состав ВТК'!P83="",IF(AND('Состав ВТК'!M83&gt;=Выплаты!$L$8,'Состав ВТК'!L83&lt;=Выплаты!$L$8),ROUND(IF('счеталка премий'!I80&lt;0,0,('Расчет участников НИР'!$H90*'счеталка премий'!P80)),2),0),IF(AND('Состав ВТК'!Q83&gt;=Выплаты!$L$8,'Состав ВТК'!P83&lt;=Выплаты!$L$8),ROUND(IF('счеталка премий'!I80&lt;0,0,('Расчет участников НИР'!$H90*'счеталка премий'!P80)),2),0)),2),0)</f>
        <v>0</v>
      </c>
      <c r="N88" s="310">
        <f>IFERROR(ROUND(IF(M88=0,ROUND(('Расчет участников НИР'!$H90*'счеталка премий'!P80),2)-M88,0),2),0)</f>
        <v>0</v>
      </c>
      <c r="O88" s="310">
        <f t="shared" si="16"/>
        <v>0</v>
      </c>
      <c r="P88" s="306"/>
      <c r="Q88" s="310" t="str">
        <f t="shared" si="22"/>
        <v>0,00</v>
      </c>
      <c r="R88" s="310">
        <f>IFERROR(ROUND(IF('Состав ВТК'!P83="",IF(AND('Состав ВТК'!M83&gt;=Выплаты!$Q$8,'Состав ВТК'!L83&lt;=Выплаты!$Q$8),ROUND(IF('счеталка премий'!J80&lt;0,0,('Расчет участников НИР'!$H90*'счеталка премий'!Q80)),2),0),IF(AND('Состав ВТК'!Q83&gt;=Выплаты!$Q$8,'Состав ВТК'!P83&lt;=Выплаты!$Q$8),ROUND(IF('счеталка премий'!J80&lt;0,0,('Расчет участников НИР'!$H90*'счеталка премий'!Q80)),2),0)),2),0)</f>
        <v>0</v>
      </c>
      <c r="S88" s="310">
        <f>IFERROR(ROUND(IF(R88=0,ROUND(('Расчет участников НИР'!$H90*'счеталка премий'!Q80),2)-R88,0),2),0)</f>
        <v>0</v>
      </c>
      <c r="T88" s="310">
        <f t="shared" si="17"/>
        <v>0</v>
      </c>
      <c r="U88" s="306"/>
      <c r="V88" s="310">
        <f t="shared" si="23"/>
        <v>0</v>
      </c>
      <c r="W88" s="310" t="str">
        <f t="shared" si="24"/>
        <v>0,00</v>
      </c>
      <c r="X88" s="310">
        <f>IFERROR(ROUND(IF('Состав ВТК'!P83="",IF('Состав ВТК'!M83&gt;=Выплаты!$V$8,ROUND(IF('счеталка премий'!K80&lt;0,0,'Расчет участников НИР'!$H90*'счеталка премий'!R80),2),0),IF('Состав ВТК'!Q83&gt;=Выплаты!$V$8,ROUND(IF('счеталка премий'!K80&lt;0,0,'Расчет участников НИР'!$H90*'счеталка премий'!R80),2),0)),2),0)</f>
        <v>0</v>
      </c>
      <c r="Y88" s="310">
        <f>IFERROR(ROUND(IF(OR(IF('Состав ВТК'!L83="",AND('Состав ВТК'!Q83&lt;=Выплаты!$V$8,'Состав ВТК'!P83&lt;Выплаты!$V$8),AND('Состав ВТК'!M83&lt;=Выплаты!$V$8,'Состав ВТК'!$K83=справочник!$A$5)),W88=0),0,$Y$12/(Распределение!$N$11-SUMIF($W$14:$W$114,0,Распределение!$N$13:$N$125))*Распределение!N87),2),"0,00")</f>
        <v>0</v>
      </c>
      <c r="Z88" s="310">
        <f>IFERROR(ROUND(IF(X88=0,ROUND(('Расчет участников НИР'!$H90*'счеталка премий'!R80),2)-X88,0),2),0)</f>
        <v>0</v>
      </c>
      <c r="AA88" s="306"/>
      <c r="AB88" s="309">
        <f t="shared" si="25"/>
        <v>0</v>
      </c>
      <c r="AC88" s="309">
        <f t="shared" si="18"/>
        <v>0</v>
      </c>
      <c r="AE88" s="308"/>
    </row>
    <row r="89" spans="1:31" hidden="1" x14ac:dyDescent="0.25">
      <c r="A89" s="247">
        <v>76</v>
      </c>
      <c r="B89" s="602">
        <f>'Состав ВТК'!$B84</f>
        <v>0</v>
      </c>
      <c r="C89" s="310" t="str">
        <f>IFERROR(VLOOKUP($B89,'Состав ВТК'!$B$9:$I$108,7,FALSE),"-")</f>
        <v>-</v>
      </c>
      <c r="D89" s="310" t="str">
        <f>IFERROR(VLOOKUP($B89,'Состав ВТК'!$B$9:$I$108,8,FALSE),"-")</f>
        <v>-</v>
      </c>
      <c r="E89" s="310">
        <f>ROUND(IF($B89='Расчет участников НИР'!$A91,'Расчет участников НИР'!$M91),2)</f>
        <v>0</v>
      </c>
      <c r="F89" s="310">
        <f>ROUND('Расчет участников НИР'!$H91*50%-$E89,2)</f>
        <v>0</v>
      </c>
      <c r="G89" s="310" t="str">
        <f t="shared" si="19"/>
        <v>0,00</v>
      </c>
      <c r="H89" s="310">
        <f>IFERROR(ROUND(IF('Состав ВТК'!P84="",IF(AND('Состав ВТК'!M84&gt;=Выплаты!$G$8,'Состав ВТК'!L84&lt;=Выплаты!$G$8),ROUND(('Расчет участников НИР'!$H91*'счеталка премий'!O81),2),0),IF(AND('Состав ВТК'!Q84&gt;=Выплаты!$G$8,'Состав ВТК'!P84&lt;=Выплаты!$G$8),ROUND(('Расчет участников НИР'!$H91*'счеталка премий'!O81),2),0)),2),0)</f>
        <v>0</v>
      </c>
      <c r="I89" s="310">
        <f>IFERROR(ROUND(IF(H89=0,ROUND(('Расчет участников НИР'!$H91*'счеталка премий'!O81),2)-H89,0),2),0)</f>
        <v>0</v>
      </c>
      <c r="J89" s="310">
        <f t="shared" si="20"/>
        <v>0</v>
      </c>
      <c r="K89" s="306"/>
      <c r="L89" s="310" t="str">
        <f t="shared" si="21"/>
        <v>0,00</v>
      </c>
      <c r="M89" s="310">
        <f>IFERROR(ROUND(IF('Состав ВТК'!P84="",IF(AND('Состав ВТК'!M84&gt;=Выплаты!$L$8,'Состав ВТК'!L84&lt;=Выплаты!$L$8),ROUND(IF('счеталка премий'!I81&lt;0,0,('Расчет участников НИР'!$H91*'счеталка премий'!P81)),2),0),IF(AND('Состав ВТК'!Q84&gt;=Выплаты!$L$8,'Состав ВТК'!P84&lt;=Выплаты!$L$8),ROUND(IF('счеталка премий'!I81&lt;0,0,('Расчет участников НИР'!$H91*'счеталка премий'!P81)),2),0)),2),0)</f>
        <v>0</v>
      </c>
      <c r="N89" s="310">
        <f>IFERROR(ROUND(IF(M89=0,ROUND(('Расчет участников НИР'!$H91*'счеталка премий'!P81),2)-M89,0),2),0)</f>
        <v>0</v>
      </c>
      <c r="O89" s="310">
        <f t="shared" si="16"/>
        <v>0</v>
      </c>
      <c r="P89" s="306"/>
      <c r="Q89" s="310" t="str">
        <f t="shared" si="22"/>
        <v>0,00</v>
      </c>
      <c r="R89" s="310">
        <f>IFERROR(ROUND(IF('Состав ВТК'!P84="",IF(AND('Состав ВТК'!M84&gt;=Выплаты!$Q$8,'Состав ВТК'!L84&lt;=Выплаты!$Q$8),ROUND(IF('счеталка премий'!J81&lt;0,0,('Расчет участников НИР'!$H91*'счеталка премий'!Q81)),2),0),IF(AND('Состав ВТК'!Q84&gt;=Выплаты!$Q$8,'Состав ВТК'!P84&lt;=Выплаты!$Q$8),ROUND(IF('счеталка премий'!J81&lt;0,0,('Расчет участников НИР'!$H91*'счеталка премий'!Q81)),2),0)),2),0)</f>
        <v>0</v>
      </c>
      <c r="S89" s="310">
        <f>IFERROR(ROUND(IF(R89=0,ROUND(('Расчет участников НИР'!$H91*'счеталка премий'!Q81),2)-R89,0),2),0)</f>
        <v>0</v>
      </c>
      <c r="T89" s="310">
        <f t="shared" si="17"/>
        <v>0</v>
      </c>
      <c r="U89" s="306"/>
      <c r="V89" s="310">
        <f t="shared" si="23"/>
        <v>0</v>
      </c>
      <c r="W89" s="310" t="str">
        <f t="shared" si="24"/>
        <v>0,00</v>
      </c>
      <c r="X89" s="310">
        <f>IFERROR(ROUND(IF('Состав ВТК'!P84="",IF('Состав ВТК'!M84&gt;=Выплаты!$V$8,ROUND(IF('счеталка премий'!K81&lt;0,0,'Расчет участников НИР'!$H91*'счеталка премий'!R81),2),0),IF('Состав ВТК'!Q84&gt;=Выплаты!$V$8,ROUND(IF('счеталка премий'!K81&lt;0,0,'Расчет участников НИР'!$H91*'счеталка премий'!R81),2),0)),2),0)</f>
        <v>0</v>
      </c>
      <c r="Y89" s="310">
        <f>IFERROR(ROUND(IF(OR(IF('Состав ВТК'!L84="",AND('Состав ВТК'!Q84&lt;=Выплаты!$V$8,'Состав ВТК'!P84&lt;Выплаты!$V$8),AND('Состав ВТК'!M84&lt;=Выплаты!$V$8,'Состав ВТК'!$K84=справочник!$A$5)),W89=0),0,$Y$12/(Распределение!$N$11-SUMIF($W$14:$W$114,0,Распределение!$N$13:$N$125))*Распределение!N88),2),"0,00")</f>
        <v>0</v>
      </c>
      <c r="Z89" s="310">
        <f>IFERROR(ROUND(IF(X89=0,ROUND(('Расчет участников НИР'!$H91*'счеталка премий'!R81),2)-X89,0),2),0)</f>
        <v>0</v>
      </c>
      <c r="AA89" s="306"/>
      <c r="AB89" s="309">
        <f t="shared" si="25"/>
        <v>0</v>
      </c>
      <c r="AC89" s="309">
        <f t="shared" si="18"/>
        <v>0</v>
      </c>
      <c r="AE89" s="308"/>
    </row>
    <row r="90" spans="1:31" hidden="1" x14ac:dyDescent="0.25">
      <c r="A90" s="247">
        <v>77</v>
      </c>
      <c r="B90" s="602">
        <f>'Состав ВТК'!$B85</f>
        <v>0</v>
      </c>
      <c r="C90" s="310" t="str">
        <f>IFERROR(VLOOKUP($B90,'Состав ВТК'!$B$9:$I$108,7,FALSE),"-")</f>
        <v>-</v>
      </c>
      <c r="D90" s="310" t="str">
        <f>IFERROR(VLOOKUP($B90,'Состав ВТК'!$B$9:$I$108,8,FALSE),"-")</f>
        <v>-</v>
      </c>
      <c r="E90" s="310">
        <f>ROUND(IF($B90='Расчет участников НИР'!$A92,'Расчет участников НИР'!$M92),2)</f>
        <v>0</v>
      </c>
      <c r="F90" s="310">
        <f>ROUND('Расчет участников НИР'!$H92*50%-$E90,2)</f>
        <v>0</v>
      </c>
      <c r="G90" s="310" t="str">
        <f t="shared" si="19"/>
        <v>0,00</v>
      </c>
      <c r="H90" s="310">
        <f>IFERROR(ROUND(IF('Состав ВТК'!P85="",IF(AND('Состав ВТК'!M85&gt;=Выплаты!$G$8,'Состав ВТК'!L85&lt;=Выплаты!$G$8),ROUND(('Расчет участников НИР'!$H92*'счеталка премий'!O82),2),0),IF(AND('Состав ВТК'!Q85&gt;=Выплаты!$G$8,'Состав ВТК'!P85&lt;=Выплаты!$G$8),ROUND(('Расчет участников НИР'!$H92*'счеталка премий'!O82),2),0)),2),0)</f>
        <v>0</v>
      </c>
      <c r="I90" s="310">
        <f>IFERROR(ROUND(IF(H90=0,ROUND(('Расчет участников НИР'!$H92*'счеталка премий'!O82),2)-H90,0),2),0)</f>
        <v>0</v>
      </c>
      <c r="J90" s="310">
        <f t="shared" si="20"/>
        <v>0</v>
      </c>
      <c r="K90" s="306"/>
      <c r="L90" s="310" t="str">
        <f t="shared" si="21"/>
        <v>0,00</v>
      </c>
      <c r="M90" s="310">
        <f>IFERROR(ROUND(IF('Состав ВТК'!P85="",IF(AND('Состав ВТК'!M85&gt;=Выплаты!$L$8,'Состав ВТК'!L85&lt;=Выплаты!$L$8),ROUND(IF('счеталка премий'!I82&lt;0,0,('Расчет участников НИР'!$H92*'счеталка премий'!P82)),2),0),IF(AND('Состав ВТК'!Q85&gt;=Выплаты!$L$8,'Состав ВТК'!P85&lt;=Выплаты!$L$8),ROUND(IF('счеталка премий'!I82&lt;0,0,('Расчет участников НИР'!$H92*'счеталка премий'!P82)),2),0)),2),0)</f>
        <v>0</v>
      </c>
      <c r="N90" s="310">
        <f>IFERROR(ROUND(IF(M90=0,ROUND(('Расчет участников НИР'!$H92*'счеталка премий'!P82),2)-M90,0),2),0)</f>
        <v>0</v>
      </c>
      <c r="O90" s="310">
        <f t="shared" si="16"/>
        <v>0</v>
      </c>
      <c r="P90" s="306"/>
      <c r="Q90" s="310" t="str">
        <f t="shared" si="22"/>
        <v>0,00</v>
      </c>
      <c r="R90" s="310">
        <f>IFERROR(ROUND(IF('Состав ВТК'!P85="",IF(AND('Состав ВТК'!M85&gt;=Выплаты!$Q$8,'Состав ВТК'!L85&lt;=Выплаты!$Q$8),ROUND(IF('счеталка премий'!J82&lt;0,0,('Расчет участников НИР'!$H92*'счеталка премий'!Q82)),2),0),IF(AND('Состав ВТК'!Q85&gt;=Выплаты!$Q$8,'Состав ВТК'!P85&lt;=Выплаты!$Q$8),ROUND(IF('счеталка премий'!J82&lt;0,0,('Расчет участников НИР'!$H92*'счеталка премий'!Q82)),2),0)),2),0)</f>
        <v>0</v>
      </c>
      <c r="S90" s="310">
        <f>IFERROR(ROUND(IF(R90=0,ROUND(('Расчет участников НИР'!$H92*'счеталка премий'!Q82),2)-R90,0),2),0)</f>
        <v>0</v>
      </c>
      <c r="T90" s="310">
        <f t="shared" si="17"/>
        <v>0</v>
      </c>
      <c r="U90" s="306"/>
      <c r="V90" s="310">
        <f t="shared" si="23"/>
        <v>0</v>
      </c>
      <c r="W90" s="310" t="str">
        <f t="shared" si="24"/>
        <v>0,00</v>
      </c>
      <c r="X90" s="310">
        <f>IFERROR(ROUND(IF('Состав ВТК'!P85="",IF('Состав ВТК'!M85&gt;=Выплаты!$V$8,ROUND(IF('счеталка премий'!K82&lt;0,0,'Расчет участников НИР'!$H92*'счеталка премий'!R82),2),0),IF('Состав ВТК'!Q85&gt;=Выплаты!$V$8,ROUND(IF('счеталка премий'!K82&lt;0,0,'Расчет участников НИР'!$H92*'счеталка премий'!R82),2),0)),2),0)</f>
        <v>0</v>
      </c>
      <c r="Y90" s="310">
        <f>IFERROR(ROUND(IF(OR(IF('Состав ВТК'!L85="",AND('Состав ВТК'!Q85&lt;=Выплаты!$V$8,'Состав ВТК'!P85&lt;Выплаты!$V$8),AND('Состав ВТК'!M85&lt;=Выплаты!$V$8,'Состав ВТК'!$K85=справочник!$A$5)),W90=0),0,$Y$12/(Распределение!$N$11-SUMIF($W$14:$W$114,0,Распределение!$N$13:$N$125))*Распределение!N89),2),"0,00")</f>
        <v>0</v>
      </c>
      <c r="Z90" s="310">
        <f>IFERROR(ROUND(IF(X90=0,ROUND(('Расчет участников НИР'!$H92*'счеталка премий'!R82),2)-X90,0),2),0)</f>
        <v>0</v>
      </c>
      <c r="AA90" s="306"/>
      <c r="AB90" s="309">
        <f t="shared" si="25"/>
        <v>0</v>
      </c>
      <c r="AC90" s="309">
        <f t="shared" si="18"/>
        <v>0</v>
      </c>
      <c r="AE90" s="308"/>
    </row>
    <row r="91" spans="1:31" hidden="1" x14ac:dyDescent="0.25">
      <c r="A91" s="247">
        <v>78</v>
      </c>
      <c r="B91" s="602">
        <f>'Состав ВТК'!$B86</f>
        <v>0</v>
      </c>
      <c r="C91" s="310" t="str">
        <f>IFERROR(VLOOKUP($B91,'Состав ВТК'!$B$9:$I$108,7,FALSE),"-")</f>
        <v>-</v>
      </c>
      <c r="D91" s="310" t="str">
        <f>IFERROR(VLOOKUP($B91,'Состав ВТК'!$B$9:$I$108,8,FALSE),"-")</f>
        <v>-</v>
      </c>
      <c r="E91" s="310">
        <f>ROUND(IF($B91='Расчет участников НИР'!$A93,'Расчет участников НИР'!$M93),2)</f>
        <v>0</v>
      </c>
      <c r="F91" s="310">
        <f>ROUND('Расчет участников НИР'!$H93*50%-$E91,2)</f>
        <v>0</v>
      </c>
      <c r="G91" s="310" t="str">
        <f t="shared" si="19"/>
        <v>0,00</v>
      </c>
      <c r="H91" s="310">
        <f>IFERROR(ROUND(IF('Состав ВТК'!P86="",IF(AND('Состав ВТК'!M86&gt;=Выплаты!$G$8,'Состав ВТК'!L86&lt;=Выплаты!$G$8),ROUND(('Расчет участников НИР'!$H93*'счеталка премий'!O83),2),0),IF(AND('Состав ВТК'!Q86&gt;=Выплаты!$G$8,'Состав ВТК'!P86&lt;=Выплаты!$G$8),ROUND(('Расчет участников НИР'!$H93*'счеталка премий'!O83),2),0)),2),0)</f>
        <v>0</v>
      </c>
      <c r="I91" s="310">
        <f>IFERROR(ROUND(IF(H91=0,ROUND(('Расчет участников НИР'!$H93*'счеталка премий'!O83),2)-H91,0),2),0)</f>
        <v>0</v>
      </c>
      <c r="J91" s="310">
        <f t="shared" si="20"/>
        <v>0</v>
      </c>
      <c r="K91" s="306"/>
      <c r="L91" s="310" t="str">
        <f t="shared" si="21"/>
        <v>0,00</v>
      </c>
      <c r="M91" s="310">
        <f>IFERROR(ROUND(IF('Состав ВТК'!P86="",IF(AND('Состав ВТК'!M86&gt;=Выплаты!$L$8,'Состав ВТК'!L86&lt;=Выплаты!$L$8),ROUND(IF('счеталка премий'!I83&lt;0,0,('Расчет участников НИР'!$H93*'счеталка премий'!P83)),2),0),IF(AND('Состав ВТК'!Q86&gt;=Выплаты!$L$8,'Состав ВТК'!P86&lt;=Выплаты!$L$8),ROUND(IF('счеталка премий'!I83&lt;0,0,('Расчет участников НИР'!$H93*'счеталка премий'!P83)),2),0)),2),0)</f>
        <v>0</v>
      </c>
      <c r="N91" s="310">
        <f>IFERROR(ROUND(IF(M91=0,ROUND(('Расчет участников НИР'!$H93*'счеталка премий'!P83),2)-M91,0),2),0)</f>
        <v>0</v>
      </c>
      <c r="O91" s="310">
        <f t="shared" si="16"/>
        <v>0</v>
      </c>
      <c r="P91" s="306"/>
      <c r="Q91" s="310" t="str">
        <f t="shared" si="22"/>
        <v>0,00</v>
      </c>
      <c r="R91" s="310">
        <f>IFERROR(ROUND(IF('Состав ВТК'!P86="",IF(AND('Состав ВТК'!M86&gt;=Выплаты!$Q$8,'Состав ВТК'!L86&lt;=Выплаты!$Q$8),ROUND(IF('счеталка премий'!J83&lt;0,0,('Расчет участников НИР'!$H93*'счеталка премий'!Q83)),2),0),IF(AND('Состав ВТК'!Q86&gt;=Выплаты!$Q$8,'Состав ВТК'!P86&lt;=Выплаты!$Q$8),ROUND(IF('счеталка премий'!J83&lt;0,0,('Расчет участников НИР'!$H93*'счеталка премий'!Q83)),2),0)),2),0)</f>
        <v>0</v>
      </c>
      <c r="S91" s="310">
        <f>IFERROR(ROUND(IF(R91=0,ROUND(('Расчет участников НИР'!$H93*'счеталка премий'!Q83),2)-R91,0),2),0)</f>
        <v>0</v>
      </c>
      <c r="T91" s="310">
        <f t="shared" si="17"/>
        <v>0</v>
      </c>
      <c r="U91" s="306"/>
      <c r="V91" s="310">
        <f t="shared" si="23"/>
        <v>0</v>
      </c>
      <c r="W91" s="310" t="str">
        <f t="shared" si="24"/>
        <v>0,00</v>
      </c>
      <c r="X91" s="310">
        <f>IFERROR(ROUND(IF('Состав ВТК'!P86="",IF('Состав ВТК'!M86&gt;=Выплаты!$V$8,ROUND(IF('счеталка премий'!K83&lt;0,0,'Расчет участников НИР'!$H93*'счеталка премий'!R83),2),0),IF('Состав ВТК'!Q86&gt;=Выплаты!$V$8,ROUND(IF('счеталка премий'!K83&lt;0,0,'Расчет участников НИР'!$H93*'счеталка премий'!R83),2),0)),2),0)</f>
        <v>0</v>
      </c>
      <c r="Y91" s="310">
        <f>IFERROR(ROUND(IF(OR(IF('Состав ВТК'!L86="",AND('Состав ВТК'!Q86&lt;=Выплаты!$V$8,'Состав ВТК'!P86&lt;Выплаты!$V$8),AND('Состав ВТК'!M86&lt;=Выплаты!$V$8,'Состав ВТК'!$K86=справочник!$A$5)),W91=0),0,$Y$12/(Распределение!$N$11-SUMIF($W$14:$W$114,0,Распределение!$N$13:$N$125))*Распределение!N90),2),"0,00")</f>
        <v>0</v>
      </c>
      <c r="Z91" s="310">
        <f>IFERROR(ROUND(IF(X91=0,ROUND(('Расчет участников НИР'!$H93*'счеталка премий'!R83),2)-X91,0),2),0)</f>
        <v>0</v>
      </c>
      <c r="AA91" s="306"/>
      <c r="AB91" s="309">
        <f t="shared" si="25"/>
        <v>0</v>
      </c>
      <c r="AC91" s="309">
        <f t="shared" si="18"/>
        <v>0</v>
      </c>
      <c r="AE91" s="308"/>
    </row>
    <row r="92" spans="1:31" hidden="1" x14ac:dyDescent="0.25">
      <c r="A92" s="247">
        <v>79</v>
      </c>
      <c r="B92" s="602">
        <f>'Состав ВТК'!$B87</f>
        <v>0</v>
      </c>
      <c r="C92" s="310" t="str">
        <f>IFERROR(VLOOKUP($B92,'Состав ВТК'!$B$9:$I$108,7,FALSE),"-")</f>
        <v>-</v>
      </c>
      <c r="D92" s="310" t="str">
        <f>IFERROR(VLOOKUP($B92,'Состав ВТК'!$B$9:$I$108,8,FALSE),"-")</f>
        <v>-</v>
      </c>
      <c r="E92" s="310">
        <f>ROUND(IF($B92='Расчет участников НИР'!$A94,'Расчет участников НИР'!$M94),2)</f>
        <v>0</v>
      </c>
      <c r="F92" s="310">
        <f>ROUND('Расчет участников НИР'!$H94*50%-$E92,2)</f>
        <v>0</v>
      </c>
      <c r="G92" s="310" t="str">
        <f t="shared" si="19"/>
        <v>0,00</v>
      </c>
      <c r="H92" s="310">
        <f>IFERROR(ROUND(IF('Состав ВТК'!P87="",IF(AND('Состав ВТК'!M87&gt;=Выплаты!$G$8,'Состав ВТК'!L87&lt;=Выплаты!$G$8),ROUND(('Расчет участников НИР'!$H94*'счеталка премий'!O84),2),0),IF(AND('Состав ВТК'!Q87&gt;=Выплаты!$G$8,'Состав ВТК'!P87&lt;=Выплаты!$G$8),ROUND(('Расчет участников НИР'!$H94*'счеталка премий'!O84),2),0)),2),0)</f>
        <v>0</v>
      </c>
      <c r="I92" s="310">
        <f>IFERROR(ROUND(IF(H92=0,ROUND(('Расчет участников НИР'!$H94*'счеталка премий'!O84),2)-H92,0),2),0)</f>
        <v>0</v>
      </c>
      <c r="J92" s="310">
        <f t="shared" si="20"/>
        <v>0</v>
      </c>
      <c r="K92" s="306"/>
      <c r="L92" s="310" t="str">
        <f t="shared" si="21"/>
        <v>0,00</v>
      </c>
      <c r="M92" s="310">
        <f>IFERROR(ROUND(IF('Состав ВТК'!P87="",IF(AND('Состав ВТК'!M87&gt;=Выплаты!$L$8,'Состав ВТК'!L87&lt;=Выплаты!$L$8),ROUND(IF('счеталка премий'!I84&lt;0,0,('Расчет участников НИР'!$H94*'счеталка премий'!P84)),2),0),IF(AND('Состав ВТК'!Q87&gt;=Выплаты!$L$8,'Состав ВТК'!P87&lt;=Выплаты!$L$8),ROUND(IF('счеталка премий'!I84&lt;0,0,('Расчет участников НИР'!$H94*'счеталка премий'!P84)),2),0)),2),0)</f>
        <v>0</v>
      </c>
      <c r="N92" s="310">
        <f>IFERROR(ROUND(IF(M92=0,ROUND(('Расчет участников НИР'!$H94*'счеталка премий'!P84),2)-M92,0),2),0)</f>
        <v>0</v>
      </c>
      <c r="O92" s="310">
        <f t="shared" si="16"/>
        <v>0</v>
      </c>
      <c r="P92" s="306"/>
      <c r="Q92" s="310" t="str">
        <f t="shared" si="22"/>
        <v>0,00</v>
      </c>
      <c r="R92" s="310">
        <f>IFERROR(ROUND(IF('Состав ВТК'!P87="",IF(AND('Состав ВТК'!M87&gt;=Выплаты!$Q$8,'Состав ВТК'!L87&lt;=Выплаты!$Q$8),ROUND(IF('счеталка премий'!J84&lt;0,0,('Расчет участников НИР'!$H94*'счеталка премий'!Q84)),2),0),IF(AND('Состав ВТК'!Q87&gt;=Выплаты!$Q$8,'Состав ВТК'!P87&lt;=Выплаты!$Q$8),ROUND(IF('счеталка премий'!J84&lt;0,0,('Расчет участников НИР'!$H94*'счеталка премий'!Q84)),2),0)),2),0)</f>
        <v>0</v>
      </c>
      <c r="S92" s="310">
        <f>IFERROR(ROUND(IF(R92=0,ROUND(('Расчет участников НИР'!$H94*'счеталка премий'!Q84),2)-R92,0),2),0)</f>
        <v>0</v>
      </c>
      <c r="T92" s="310">
        <f t="shared" si="17"/>
        <v>0</v>
      </c>
      <c r="U92" s="306"/>
      <c r="V92" s="310">
        <f t="shared" si="23"/>
        <v>0</v>
      </c>
      <c r="W92" s="310" t="str">
        <f t="shared" si="24"/>
        <v>0,00</v>
      </c>
      <c r="X92" s="310">
        <f>IFERROR(ROUND(IF('Состав ВТК'!P87="",IF('Состав ВТК'!M87&gt;=Выплаты!$V$8,ROUND(IF('счеталка премий'!K84&lt;0,0,'Расчет участников НИР'!$H94*'счеталка премий'!R84),2),0),IF('Состав ВТК'!Q87&gt;=Выплаты!$V$8,ROUND(IF('счеталка премий'!K84&lt;0,0,'Расчет участников НИР'!$H94*'счеталка премий'!R84),2),0)),2),0)</f>
        <v>0</v>
      </c>
      <c r="Y92" s="310">
        <f>IFERROR(ROUND(IF(OR(IF('Состав ВТК'!L87="",AND('Состав ВТК'!Q87&lt;=Выплаты!$V$8,'Состав ВТК'!P87&lt;Выплаты!$V$8),AND('Состав ВТК'!M87&lt;=Выплаты!$V$8,'Состав ВТК'!$K87=справочник!$A$5)),W92=0),0,$Y$12/(Распределение!$N$11-SUMIF($W$14:$W$114,0,Распределение!$N$13:$N$125))*Распределение!N91),2),"0,00")</f>
        <v>0</v>
      </c>
      <c r="Z92" s="310">
        <f>IFERROR(ROUND(IF(X92=0,ROUND(('Расчет участников НИР'!$H94*'счеталка премий'!R84),2)-X92,0),2),0)</f>
        <v>0</v>
      </c>
      <c r="AA92" s="306"/>
      <c r="AB92" s="309">
        <f t="shared" si="25"/>
        <v>0</v>
      </c>
      <c r="AC92" s="309">
        <f t="shared" si="18"/>
        <v>0</v>
      </c>
      <c r="AE92" s="308"/>
    </row>
    <row r="93" spans="1:31" hidden="1" x14ac:dyDescent="0.25">
      <c r="A93" s="247">
        <v>80</v>
      </c>
      <c r="B93" s="602">
        <f>'Состав ВТК'!$B88</f>
        <v>0</v>
      </c>
      <c r="C93" s="310" t="str">
        <f>IFERROR(VLOOKUP($B93,'Состав ВТК'!$B$9:$I$108,7,FALSE),"-")</f>
        <v>-</v>
      </c>
      <c r="D93" s="310" t="str">
        <f>IFERROR(VLOOKUP($B93,'Состав ВТК'!$B$9:$I$108,8,FALSE),"-")</f>
        <v>-</v>
      </c>
      <c r="E93" s="310">
        <f>ROUND(IF($B93='Расчет участников НИР'!$A95,'Расчет участников НИР'!$M95),2)</f>
        <v>0</v>
      </c>
      <c r="F93" s="310">
        <f>ROUND('Расчет участников НИР'!$H95*50%-$E93,2)</f>
        <v>0</v>
      </c>
      <c r="G93" s="310" t="str">
        <f t="shared" si="19"/>
        <v>0,00</v>
      </c>
      <c r="H93" s="310">
        <f>IFERROR(ROUND(IF('Состав ВТК'!P88="",IF(AND('Состав ВТК'!M88&gt;=Выплаты!$G$8,'Состав ВТК'!L88&lt;=Выплаты!$G$8),ROUND(('Расчет участников НИР'!$H95*'счеталка премий'!O85),2),0),IF(AND('Состав ВТК'!Q88&gt;=Выплаты!$G$8,'Состав ВТК'!P88&lt;=Выплаты!$G$8),ROUND(('Расчет участников НИР'!$H95*'счеталка премий'!O85),2),0)),2),0)</f>
        <v>0</v>
      </c>
      <c r="I93" s="310">
        <f>IFERROR(ROUND(IF(H93=0,ROUND(('Расчет участников НИР'!$H95*'счеталка премий'!O85),2)-H93,0),2),0)</f>
        <v>0</v>
      </c>
      <c r="J93" s="310">
        <f t="shared" si="20"/>
        <v>0</v>
      </c>
      <c r="K93" s="306"/>
      <c r="L93" s="310" t="str">
        <f t="shared" si="21"/>
        <v>0,00</v>
      </c>
      <c r="M93" s="310">
        <f>IFERROR(ROUND(IF('Состав ВТК'!P88="",IF(AND('Состав ВТК'!M88&gt;=Выплаты!$L$8,'Состав ВТК'!L88&lt;=Выплаты!$L$8),ROUND(IF('счеталка премий'!I85&lt;0,0,('Расчет участников НИР'!$H95*'счеталка премий'!P85)),2),0),IF(AND('Состав ВТК'!Q88&gt;=Выплаты!$L$8,'Состав ВТК'!P88&lt;=Выплаты!$L$8),ROUND(IF('счеталка премий'!I85&lt;0,0,('Расчет участников НИР'!$H95*'счеталка премий'!P85)),2),0)),2),0)</f>
        <v>0</v>
      </c>
      <c r="N93" s="310">
        <f>IFERROR(ROUND(IF(M93=0,ROUND(('Расчет участников НИР'!$H95*'счеталка премий'!P85),2)-M93,0),2),0)</f>
        <v>0</v>
      </c>
      <c r="O93" s="310">
        <f t="shared" si="16"/>
        <v>0</v>
      </c>
      <c r="P93" s="306"/>
      <c r="Q93" s="310" t="str">
        <f t="shared" si="22"/>
        <v>0,00</v>
      </c>
      <c r="R93" s="310">
        <f>IFERROR(ROUND(IF('Состав ВТК'!P88="",IF(AND('Состав ВТК'!M88&gt;=Выплаты!$Q$8,'Состав ВТК'!L88&lt;=Выплаты!$Q$8),ROUND(IF('счеталка премий'!J85&lt;0,0,('Расчет участников НИР'!$H95*'счеталка премий'!Q85)),2),0),IF(AND('Состав ВТК'!Q88&gt;=Выплаты!$Q$8,'Состав ВТК'!P88&lt;=Выплаты!$Q$8),ROUND(IF('счеталка премий'!J85&lt;0,0,('Расчет участников НИР'!$H95*'счеталка премий'!Q85)),2),0)),2),0)</f>
        <v>0</v>
      </c>
      <c r="S93" s="310">
        <f>IFERROR(ROUND(IF(R93=0,ROUND(('Расчет участников НИР'!$H95*'счеталка премий'!Q85),2)-R93,0),2),0)</f>
        <v>0</v>
      </c>
      <c r="T93" s="310">
        <f t="shared" si="17"/>
        <v>0</v>
      </c>
      <c r="U93" s="306"/>
      <c r="V93" s="310">
        <f t="shared" si="23"/>
        <v>0</v>
      </c>
      <c r="W93" s="310" t="str">
        <f t="shared" si="24"/>
        <v>0,00</v>
      </c>
      <c r="X93" s="310">
        <f>IFERROR(ROUND(IF('Состав ВТК'!P88="",IF('Состав ВТК'!M88&gt;=Выплаты!$V$8,ROUND(IF('счеталка премий'!K85&lt;0,0,'Расчет участников НИР'!$H95*'счеталка премий'!R85),2),0),IF('Состав ВТК'!Q88&gt;=Выплаты!$V$8,ROUND(IF('счеталка премий'!K85&lt;0,0,'Расчет участников НИР'!$H95*'счеталка премий'!R85),2),0)),2),0)</f>
        <v>0</v>
      </c>
      <c r="Y93" s="310">
        <f>IFERROR(ROUND(IF(OR(IF('Состав ВТК'!L88="",AND('Состав ВТК'!Q88&lt;=Выплаты!$V$8,'Состав ВТК'!P88&lt;Выплаты!$V$8),AND('Состав ВТК'!M88&lt;=Выплаты!$V$8,'Состав ВТК'!$K88=справочник!$A$5)),W93=0),0,$Y$12/(Распределение!$N$11-SUMIF($W$14:$W$114,0,Распределение!$N$13:$N$125))*Распределение!N92),2),"0,00")</f>
        <v>0</v>
      </c>
      <c r="Z93" s="310">
        <f>IFERROR(ROUND(IF(X93=0,ROUND(('Расчет участников НИР'!$H95*'счеталка премий'!R85),2)-X93,0),2),0)</f>
        <v>0</v>
      </c>
      <c r="AA93" s="306"/>
      <c r="AB93" s="309">
        <f t="shared" si="25"/>
        <v>0</v>
      </c>
      <c r="AC93" s="309">
        <f t="shared" si="18"/>
        <v>0</v>
      </c>
      <c r="AE93" s="308"/>
    </row>
    <row r="94" spans="1:31" hidden="1" x14ac:dyDescent="0.25">
      <c r="A94" s="247">
        <v>81</v>
      </c>
      <c r="B94" s="602">
        <f>'Состав ВТК'!$B89</f>
        <v>0</v>
      </c>
      <c r="C94" s="310" t="str">
        <f>IFERROR(VLOOKUP($B94,'Состав ВТК'!$B$9:$I$108,7,FALSE),"-")</f>
        <v>-</v>
      </c>
      <c r="D94" s="310" t="str">
        <f>IFERROR(VLOOKUP($B94,'Состав ВТК'!$B$9:$I$108,8,FALSE),"-")</f>
        <v>-</v>
      </c>
      <c r="E94" s="310">
        <f>ROUND(IF($B94='Расчет участников НИР'!$A96,'Расчет участников НИР'!$M96),2)</f>
        <v>0</v>
      </c>
      <c r="F94" s="310">
        <f>ROUND('Расчет участников НИР'!$H96*50%-$E94,2)</f>
        <v>0</v>
      </c>
      <c r="G94" s="310" t="str">
        <f t="shared" si="19"/>
        <v>0,00</v>
      </c>
      <c r="H94" s="310">
        <f>IFERROR(ROUND(IF('Состав ВТК'!P89="",IF(AND('Состав ВТК'!M89&gt;=Выплаты!$G$8,'Состав ВТК'!L89&lt;=Выплаты!$G$8),ROUND(('Расчет участников НИР'!$H96*'счеталка премий'!O86),2),0),IF(AND('Состав ВТК'!Q89&gt;=Выплаты!$G$8,'Состав ВТК'!P89&lt;=Выплаты!$G$8),ROUND(('Расчет участников НИР'!$H96*'счеталка премий'!O86),2),0)),2),0)</f>
        <v>0</v>
      </c>
      <c r="I94" s="310">
        <f>IFERROR(ROUND(IF(H94=0,ROUND(('Расчет участников НИР'!$H96*'счеталка премий'!O86),2)-H94,0),2),0)</f>
        <v>0</v>
      </c>
      <c r="J94" s="310">
        <f t="shared" si="20"/>
        <v>0</v>
      </c>
      <c r="K94" s="306"/>
      <c r="L94" s="310" t="str">
        <f t="shared" si="21"/>
        <v>0,00</v>
      </c>
      <c r="M94" s="310">
        <f>IFERROR(ROUND(IF('Состав ВТК'!P89="",IF(AND('Состав ВТК'!M89&gt;=Выплаты!$L$8,'Состав ВТК'!L89&lt;=Выплаты!$L$8),ROUND(IF('счеталка премий'!I86&lt;0,0,('Расчет участников НИР'!$H96*'счеталка премий'!P86)),2),0),IF(AND('Состав ВТК'!Q89&gt;=Выплаты!$L$8,'Состав ВТК'!P89&lt;=Выплаты!$L$8),ROUND(IF('счеталка премий'!I86&lt;0,0,('Расчет участников НИР'!$H96*'счеталка премий'!P86)),2),0)),2),0)</f>
        <v>0</v>
      </c>
      <c r="N94" s="310">
        <f>IFERROR(ROUND(IF(M94=0,ROUND(('Расчет участников НИР'!$H96*'счеталка премий'!P86),2)-M94,0),2),0)</f>
        <v>0</v>
      </c>
      <c r="O94" s="310">
        <f t="shared" si="16"/>
        <v>0</v>
      </c>
      <c r="P94" s="306"/>
      <c r="Q94" s="310" t="str">
        <f t="shared" si="22"/>
        <v>0,00</v>
      </c>
      <c r="R94" s="310">
        <f>IFERROR(ROUND(IF('Состав ВТК'!P89="",IF(AND('Состав ВТК'!M89&gt;=Выплаты!$Q$8,'Состав ВТК'!L89&lt;=Выплаты!$Q$8),ROUND(IF('счеталка премий'!J86&lt;0,0,('Расчет участников НИР'!$H96*'счеталка премий'!Q86)),2),0),IF(AND('Состав ВТК'!Q89&gt;=Выплаты!$Q$8,'Состав ВТК'!P89&lt;=Выплаты!$Q$8),ROUND(IF('счеталка премий'!J86&lt;0,0,('Расчет участников НИР'!$H96*'счеталка премий'!Q86)),2),0)),2),0)</f>
        <v>0</v>
      </c>
      <c r="S94" s="310">
        <f>IFERROR(ROUND(IF(R94=0,ROUND(('Расчет участников НИР'!$H96*'счеталка премий'!Q86),2)-R94,0),2),0)</f>
        <v>0</v>
      </c>
      <c r="T94" s="310">
        <f t="shared" si="17"/>
        <v>0</v>
      </c>
      <c r="U94" s="306"/>
      <c r="V94" s="310">
        <f t="shared" si="23"/>
        <v>0</v>
      </c>
      <c r="W94" s="310" t="str">
        <f t="shared" si="24"/>
        <v>0,00</v>
      </c>
      <c r="X94" s="310">
        <f>IFERROR(ROUND(IF('Состав ВТК'!P89="",IF('Состав ВТК'!M89&gt;=Выплаты!$V$8,ROUND(IF('счеталка премий'!K86&lt;0,0,'Расчет участников НИР'!$H96*'счеталка премий'!R86),2),0),IF('Состав ВТК'!Q89&gt;=Выплаты!$V$8,ROUND(IF('счеталка премий'!K86&lt;0,0,'Расчет участников НИР'!$H96*'счеталка премий'!R86),2),0)),2),0)</f>
        <v>0</v>
      </c>
      <c r="Y94" s="310">
        <f>IFERROR(ROUND(IF(OR(IF('Состав ВТК'!L89="",AND('Состав ВТК'!Q89&lt;=Выплаты!$V$8,'Состав ВТК'!P89&lt;Выплаты!$V$8),AND('Состав ВТК'!M89&lt;=Выплаты!$V$8,'Состав ВТК'!$K89=справочник!$A$5)),W94=0),0,$Y$12/(Распределение!$N$11-SUMIF($W$14:$W$114,0,Распределение!$N$13:$N$125))*Распределение!N93),2),"0,00")</f>
        <v>0</v>
      </c>
      <c r="Z94" s="310">
        <f>IFERROR(ROUND(IF(X94=0,ROUND(('Расчет участников НИР'!$H96*'счеталка премий'!R86),2)-X94,0),2),0)</f>
        <v>0</v>
      </c>
      <c r="AA94" s="306"/>
      <c r="AB94" s="309">
        <f t="shared" si="25"/>
        <v>0</v>
      </c>
      <c r="AC94" s="309">
        <f t="shared" si="18"/>
        <v>0</v>
      </c>
      <c r="AE94" s="308"/>
    </row>
    <row r="95" spans="1:31" hidden="1" x14ac:dyDescent="0.25">
      <c r="A95" s="247">
        <v>82</v>
      </c>
      <c r="B95" s="602">
        <f>'Состав ВТК'!$B90</f>
        <v>0</v>
      </c>
      <c r="C95" s="310" t="str">
        <f>IFERROR(VLOOKUP($B95,'Состав ВТК'!$B$9:$I$108,7,FALSE),"-")</f>
        <v>-</v>
      </c>
      <c r="D95" s="310" t="str">
        <f>IFERROR(VLOOKUP($B95,'Состав ВТК'!$B$9:$I$108,8,FALSE),"-")</f>
        <v>-</v>
      </c>
      <c r="E95" s="310">
        <f>ROUND(IF($B95='Расчет участников НИР'!$A97,'Расчет участников НИР'!$M97),2)</f>
        <v>0</v>
      </c>
      <c r="F95" s="310">
        <f>ROUND('Расчет участников НИР'!$H97*50%-$E95,2)</f>
        <v>0</v>
      </c>
      <c r="G95" s="310" t="str">
        <f t="shared" si="19"/>
        <v>0,00</v>
      </c>
      <c r="H95" s="310">
        <f>IFERROR(ROUND(IF('Состав ВТК'!P90="",IF(AND('Состав ВТК'!M90&gt;=Выплаты!$G$8,'Состав ВТК'!L90&lt;=Выплаты!$G$8),ROUND(('Расчет участников НИР'!$H97*'счеталка премий'!O87),2),0),IF(AND('Состав ВТК'!Q90&gt;=Выплаты!$G$8,'Состав ВТК'!P90&lt;=Выплаты!$G$8),ROUND(('Расчет участников НИР'!$H97*'счеталка премий'!O87),2),0)),2),0)</f>
        <v>0</v>
      </c>
      <c r="I95" s="310">
        <f>IFERROR(ROUND(IF(H95=0,ROUND(('Расчет участников НИР'!$H97*'счеталка премий'!O87),2)-H95,0),2),0)</f>
        <v>0</v>
      </c>
      <c r="J95" s="310">
        <f t="shared" si="20"/>
        <v>0</v>
      </c>
      <c r="K95" s="306"/>
      <c r="L95" s="310" t="str">
        <f t="shared" si="21"/>
        <v>0,00</v>
      </c>
      <c r="M95" s="310">
        <f>IFERROR(ROUND(IF('Состав ВТК'!P90="",IF(AND('Состав ВТК'!M90&gt;=Выплаты!$L$8,'Состав ВТК'!L90&lt;=Выплаты!$L$8),ROUND(IF('счеталка премий'!I87&lt;0,0,('Расчет участников НИР'!$H97*'счеталка премий'!P87)),2),0),IF(AND('Состав ВТК'!Q90&gt;=Выплаты!$L$8,'Состав ВТК'!P90&lt;=Выплаты!$L$8),ROUND(IF('счеталка премий'!I87&lt;0,0,('Расчет участников НИР'!$H97*'счеталка премий'!P87)),2),0)),2),0)</f>
        <v>0</v>
      </c>
      <c r="N95" s="310">
        <f>IFERROR(ROUND(IF(M95=0,ROUND(('Расчет участников НИР'!$H97*'счеталка премий'!P87),2)-M95,0),2),0)</f>
        <v>0</v>
      </c>
      <c r="O95" s="310">
        <f t="shared" si="16"/>
        <v>0</v>
      </c>
      <c r="P95" s="306"/>
      <c r="Q95" s="310" t="str">
        <f t="shared" si="22"/>
        <v>0,00</v>
      </c>
      <c r="R95" s="310">
        <f>IFERROR(ROUND(IF('Состав ВТК'!P90="",IF(AND('Состав ВТК'!M90&gt;=Выплаты!$Q$8,'Состав ВТК'!L90&lt;=Выплаты!$Q$8),ROUND(IF('счеталка премий'!J87&lt;0,0,('Расчет участников НИР'!$H97*'счеталка премий'!Q87)),2),0),IF(AND('Состав ВТК'!Q90&gt;=Выплаты!$Q$8,'Состав ВТК'!P90&lt;=Выплаты!$Q$8),ROUND(IF('счеталка премий'!J87&lt;0,0,('Расчет участников НИР'!$H97*'счеталка премий'!Q87)),2),0)),2),0)</f>
        <v>0</v>
      </c>
      <c r="S95" s="310">
        <f>IFERROR(ROUND(IF(R95=0,ROUND(('Расчет участников НИР'!$H97*'счеталка премий'!Q87),2)-R95,0),2),0)</f>
        <v>0</v>
      </c>
      <c r="T95" s="310">
        <f t="shared" si="17"/>
        <v>0</v>
      </c>
      <c r="U95" s="306"/>
      <c r="V95" s="310">
        <f t="shared" si="23"/>
        <v>0</v>
      </c>
      <c r="W95" s="310" t="str">
        <f t="shared" si="24"/>
        <v>0,00</v>
      </c>
      <c r="X95" s="310">
        <f>IFERROR(ROUND(IF('Состав ВТК'!P90="",IF('Состав ВТК'!M90&gt;=Выплаты!$V$8,ROUND(IF('счеталка премий'!K87&lt;0,0,'Расчет участников НИР'!$H97*'счеталка премий'!R87),2),0),IF('Состав ВТК'!Q90&gt;=Выплаты!$V$8,ROUND(IF('счеталка премий'!K87&lt;0,0,'Расчет участников НИР'!$H97*'счеталка премий'!R87),2),0)),2),0)</f>
        <v>0</v>
      </c>
      <c r="Y95" s="310">
        <f>IFERROR(ROUND(IF(OR(IF('Состав ВТК'!L90="",AND('Состав ВТК'!Q90&lt;=Выплаты!$V$8,'Состав ВТК'!P90&lt;Выплаты!$V$8),AND('Состав ВТК'!M90&lt;=Выплаты!$V$8,'Состав ВТК'!$K90=справочник!$A$5)),W95=0),0,$Y$12/(Распределение!$N$11-SUMIF($W$14:$W$114,0,Распределение!$N$13:$N$125))*Распределение!N94),2),"0,00")</f>
        <v>0</v>
      </c>
      <c r="Z95" s="310">
        <f>IFERROR(ROUND(IF(X95=0,ROUND(('Расчет участников НИР'!$H97*'счеталка премий'!R87),2)-X95,0),2),0)</f>
        <v>0</v>
      </c>
      <c r="AA95" s="306"/>
      <c r="AB95" s="309">
        <f t="shared" si="25"/>
        <v>0</v>
      </c>
      <c r="AC95" s="309">
        <f t="shared" si="18"/>
        <v>0</v>
      </c>
      <c r="AE95" s="308"/>
    </row>
    <row r="96" spans="1:31" hidden="1" x14ac:dyDescent="0.25">
      <c r="A96" s="247">
        <v>83</v>
      </c>
      <c r="B96" s="602">
        <f>'Состав ВТК'!$B91</f>
        <v>0</v>
      </c>
      <c r="C96" s="310" t="str">
        <f>IFERROR(VLOOKUP($B96,'Состав ВТК'!$B$9:$I$108,7,FALSE),"-")</f>
        <v>-</v>
      </c>
      <c r="D96" s="310" t="str">
        <f>IFERROR(VLOOKUP($B96,'Состав ВТК'!$B$9:$I$108,8,FALSE),"-")</f>
        <v>-</v>
      </c>
      <c r="E96" s="310">
        <f>ROUND(IF($B96='Расчет участников НИР'!$A98,'Расчет участников НИР'!$M98),2)</f>
        <v>0</v>
      </c>
      <c r="F96" s="310">
        <f>ROUND('Расчет участников НИР'!$H98*50%-$E96,2)</f>
        <v>0</v>
      </c>
      <c r="G96" s="310" t="str">
        <f t="shared" si="19"/>
        <v>0,00</v>
      </c>
      <c r="H96" s="310">
        <f>IFERROR(ROUND(IF('Состав ВТК'!P91="",IF(AND('Состав ВТК'!M91&gt;=Выплаты!$G$8,'Состав ВТК'!L91&lt;=Выплаты!$G$8),ROUND(('Расчет участников НИР'!$H98*'счеталка премий'!O88),2),0),IF(AND('Состав ВТК'!Q91&gt;=Выплаты!$G$8,'Состав ВТК'!P91&lt;=Выплаты!$G$8),ROUND(('Расчет участников НИР'!$H98*'счеталка премий'!O88),2),0)),2),0)</f>
        <v>0</v>
      </c>
      <c r="I96" s="310">
        <f>IFERROR(ROUND(IF(H96=0,ROUND(('Расчет участников НИР'!$H98*'счеталка премий'!O88),2)-H96,0),2),0)</f>
        <v>0</v>
      </c>
      <c r="J96" s="310">
        <f t="shared" si="20"/>
        <v>0</v>
      </c>
      <c r="K96" s="306"/>
      <c r="L96" s="310" t="str">
        <f t="shared" si="21"/>
        <v>0,00</v>
      </c>
      <c r="M96" s="310">
        <f>IFERROR(ROUND(IF('Состав ВТК'!P91="",IF(AND('Состав ВТК'!M91&gt;=Выплаты!$L$8,'Состав ВТК'!L91&lt;=Выплаты!$L$8),ROUND(IF('счеталка премий'!I88&lt;0,0,('Расчет участников НИР'!$H98*'счеталка премий'!P88)),2),0),IF(AND('Состав ВТК'!Q91&gt;=Выплаты!$L$8,'Состав ВТК'!P91&lt;=Выплаты!$L$8),ROUND(IF('счеталка премий'!I88&lt;0,0,('Расчет участников НИР'!$H98*'счеталка премий'!P88)),2),0)),2),0)</f>
        <v>0</v>
      </c>
      <c r="N96" s="310">
        <f>IFERROR(ROUND(IF(M96=0,ROUND(('Расчет участников НИР'!$H98*'счеталка премий'!P88),2)-M96,0),2),0)</f>
        <v>0</v>
      </c>
      <c r="O96" s="310">
        <f t="shared" si="16"/>
        <v>0</v>
      </c>
      <c r="P96" s="306"/>
      <c r="Q96" s="310" t="str">
        <f t="shared" si="22"/>
        <v>0,00</v>
      </c>
      <c r="R96" s="310">
        <f>IFERROR(ROUND(IF('Состав ВТК'!P91="",IF(AND('Состав ВТК'!M91&gt;=Выплаты!$Q$8,'Состав ВТК'!L91&lt;=Выплаты!$Q$8),ROUND(IF('счеталка премий'!J88&lt;0,0,('Расчет участников НИР'!$H98*'счеталка премий'!Q88)),2),0),IF(AND('Состав ВТК'!Q91&gt;=Выплаты!$Q$8,'Состав ВТК'!P91&lt;=Выплаты!$Q$8),ROUND(IF('счеталка премий'!J88&lt;0,0,('Расчет участников НИР'!$H98*'счеталка премий'!Q88)),2),0)),2),0)</f>
        <v>0</v>
      </c>
      <c r="S96" s="310">
        <f>IFERROR(ROUND(IF(R96=0,ROUND(('Расчет участников НИР'!$H98*'счеталка премий'!Q88),2)-R96,0),2),0)</f>
        <v>0</v>
      </c>
      <c r="T96" s="310">
        <f t="shared" si="17"/>
        <v>0</v>
      </c>
      <c r="U96" s="306"/>
      <c r="V96" s="310">
        <f t="shared" si="23"/>
        <v>0</v>
      </c>
      <c r="W96" s="310" t="str">
        <f t="shared" si="24"/>
        <v>0,00</v>
      </c>
      <c r="X96" s="310">
        <f>IFERROR(ROUND(IF('Состав ВТК'!P91="",IF('Состав ВТК'!M91&gt;=Выплаты!$V$8,ROUND(IF('счеталка премий'!K88&lt;0,0,'Расчет участников НИР'!$H98*'счеталка премий'!R88),2),0),IF('Состав ВТК'!Q91&gt;=Выплаты!$V$8,ROUND(IF('счеталка премий'!K88&lt;0,0,'Расчет участников НИР'!$H98*'счеталка премий'!R88),2),0)),2),0)</f>
        <v>0</v>
      </c>
      <c r="Y96" s="310">
        <f>IFERROR(ROUND(IF(OR(IF('Состав ВТК'!L91="",AND('Состав ВТК'!Q91&lt;=Выплаты!$V$8,'Состав ВТК'!P91&lt;Выплаты!$V$8),AND('Состав ВТК'!M91&lt;=Выплаты!$V$8,'Состав ВТК'!$K91=справочник!$A$5)),W96=0),0,$Y$12/(Распределение!$N$11-SUMIF($W$14:$W$114,0,Распределение!$N$13:$N$125))*Распределение!N95),2),"0,00")</f>
        <v>0</v>
      </c>
      <c r="Z96" s="310">
        <f>IFERROR(ROUND(IF(X96=0,ROUND(('Расчет участников НИР'!$H98*'счеталка премий'!R88),2)-X96,0),2),0)</f>
        <v>0</v>
      </c>
      <c r="AA96" s="306"/>
      <c r="AB96" s="309">
        <f t="shared" si="25"/>
        <v>0</v>
      </c>
      <c r="AC96" s="309">
        <f t="shared" si="18"/>
        <v>0</v>
      </c>
      <c r="AE96" s="308"/>
    </row>
    <row r="97" spans="1:31" hidden="1" x14ac:dyDescent="0.25">
      <c r="A97" s="247">
        <v>84</v>
      </c>
      <c r="B97" s="602">
        <f>'Состав ВТК'!$B92</f>
        <v>0</v>
      </c>
      <c r="C97" s="310" t="str">
        <f>IFERROR(VLOOKUP($B97,'Состав ВТК'!$B$9:$I$108,7,FALSE),"-")</f>
        <v>-</v>
      </c>
      <c r="D97" s="310" t="str">
        <f>IFERROR(VLOOKUP($B97,'Состав ВТК'!$B$9:$I$108,8,FALSE),"-")</f>
        <v>-</v>
      </c>
      <c r="E97" s="310">
        <f>ROUND(IF($B97='Расчет участников НИР'!$A99,'Расчет участников НИР'!$M99),2)</f>
        <v>0</v>
      </c>
      <c r="F97" s="310">
        <f>ROUND('Расчет участников НИР'!$H99*50%-$E97,2)</f>
        <v>0</v>
      </c>
      <c r="G97" s="310" t="str">
        <f t="shared" si="19"/>
        <v>0,00</v>
      </c>
      <c r="H97" s="310">
        <f>IFERROR(ROUND(IF('Состав ВТК'!P92="",IF(AND('Состав ВТК'!M92&gt;=Выплаты!$G$8,'Состав ВТК'!L92&lt;=Выплаты!$G$8),ROUND(('Расчет участников НИР'!$H99*'счеталка премий'!O89),2),0),IF(AND('Состав ВТК'!Q92&gt;=Выплаты!$G$8,'Состав ВТК'!P92&lt;=Выплаты!$G$8),ROUND(('Расчет участников НИР'!$H99*'счеталка премий'!O89),2),0)),2),0)</f>
        <v>0</v>
      </c>
      <c r="I97" s="310">
        <f>IFERROR(ROUND(IF(H97=0,ROUND(('Расчет участников НИР'!$H99*'счеталка премий'!O89),2)-H97,0),2),0)</f>
        <v>0</v>
      </c>
      <c r="J97" s="310">
        <f t="shared" si="20"/>
        <v>0</v>
      </c>
      <c r="K97" s="306"/>
      <c r="L97" s="310" t="str">
        <f t="shared" si="21"/>
        <v>0,00</v>
      </c>
      <c r="M97" s="310">
        <f>IFERROR(ROUND(IF('Состав ВТК'!P92="",IF(AND('Состав ВТК'!M92&gt;=Выплаты!$L$8,'Состав ВТК'!L92&lt;=Выплаты!$L$8),ROUND(IF('счеталка премий'!I89&lt;0,0,('Расчет участников НИР'!$H99*'счеталка премий'!P89)),2),0),IF(AND('Состав ВТК'!Q92&gt;=Выплаты!$L$8,'Состав ВТК'!P92&lt;=Выплаты!$L$8),ROUND(IF('счеталка премий'!I89&lt;0,0,('Расчет участников НИР'!$H99*'счеталка премий'!P89)),2),0)),2),0)</f>
        <v>0</v>
      </c>
      <c r="N97" s="310">
        <f>IFERROR(ROUND(IF(M97=0,ROUND(('Расчет участников НИР'!$H99*'счеталка премий'!P89),2)-M97,0),2),0)</f>
        <v>0</v>
      </c>
      <c r="O97" s="310">
        <f t="shared" si="16"/>
        <v>0</v>
      </c>
      <c r="P97" s="306"/>
      <c r="Q97" s="310" t="str">
        <f t="shared" si="22"/>
        <v>0,00</v>
      </c>
      <c r="R97" s="310">
        <f>IFERROR(ROUND(IF('Состав ВТК'!P92="",IF(AND('Состав ВТК'!M92&gt;=Выплаты!$Q$8,'Состав ВТК'!L92&lt;=Выплаты!$Q$8),ROUND(IF('счеталка премий'!J89&lt;0,0,('Расчет участников НИР'!$H99*'счеталка премий'!Q89)),2),0),IF(AND('Состав ВТК'!Q92&gt;=Выплаты!$Q$8,'Состав ВТК'!P92&lt;=Выплаты!$Q$8),ROUND(IF('счеталка премий'!J89&lt;0,0,('Расчет участников НИР'!$H99*'счеталка премий'!Q89)),2),0)),2),0)</f>
        <v>0</v>
      </c>
      <c r="S97" s="310">
        <f>IFERROR(ROUND(IF(R97=0,ROUND(('Расчет участников НИР'!$H99*'счеталка премий'!Q89),2)-R97,0),2),0)</f>
        <v>0</v>
      </c>
      <c r="T97" s="310">
        <f t="shared" si="17"/>
        <v>0</v>
      </c>
      <c r="U97" s="306"/>
      <c r="V97" s="310">
        <f t="shared" si="23"/>
        <v>0</v>
      </c>
      <c r="W97" s="310" t="str">
        <f t="shared" si="24"/>
        <v>0,00</v>
      </c>
      <c r="X97" s="310">
        <f>IFERROR(ROUND(IF('Состав ВТК'!P92="",IF('Состав ВТК'!M92&gt;=Выплаты!$V$8,ROUND(IF('счеталка премий'!K89&lt;0,0,'Расчет участников НИР'!$H99*'счеталка премий'!R89),2),0),IF('Состав ВТК'!Q92&gt;=Выплаты!$V$8,ROUND(IF('счеталка премий'!K89&lt;0,0,'Расчет участников НИР'!$H99*'счеталка премий'!R89),2),0)),2),0)</f>
        <v>0</v>
      </c>
      <c r="Y97" s="310">
        <f>IFERROR(ROUND(IF(OR(IF('Состав ВТК'!L92="",AND('Состав ВТК'!Q92&lt;=Выплаты!$V$8,'Состав ВТК'!P92&lt;Выплаты!$V$8),AND('Состав ВТК'!M92&lt;=Выплаты!$V$8,'Состав ВТК'!$K92=справочник!$A$5)),W97=0),0,$Y$12/(Распределение!$N$11-SUMIF($W$14:$W$114,0,Распределение!$N$13:$N$125))*Распределение!N96),2),"0,00")</f>
        <v>0</v>
      </c>
      <c r="Z97" s="310">
        <f>IFERROR(ROUND(IF(X97=0,ROUND(('Расчет участников НИР'!$H99*'счеталка премий'!R89),2)-X97,0),2),0)</f>
        <v>0</v>
      </c>
      <c r="AA97" s="306"/>
      <c r="AB97" s="309">
        <f t="shared" si="25"/>
        <v>0</v>
      </c>
      <c r="AC97" s="309">
        <f t="shared" si="18"/>
        <v>0</v>
      </c>
      <c r="AE97" s="308"/>
    </row>
    <row r="98" spans="1:31" hidden="1" x14ac:dyDescent="0.25">
      <c r="A98" s="247">
        <v>85</v>
      </c>
      <c r="B98" s="602">
        <f>'Состав ВТК'!$B93</f>
        <v>0</v>
      </c>
      <c r="C98" s="310" t="str">
        <f>IFERROR(VLOOKUP($B98,'Состав ВТК'!$B$9:$I$108,7,FALSE),"-")</f>
        <v>-</v>
      </c>
      <c r="D98" s="310" t="str">
        <f>IFERROR(VLOOKUP($B98,'Состав ВТК'!$B$9:$I$108,8,FALSE),"-")</f>
        <v>-</v>
      </c>
      <c r="E98" s="310">
        <f>ROUND(IF($B98='Расчет участников НИР'!$A100,'Расчет участников НИР'!$M100),2)</f>
        <v>0</v>
      </c>
      <c r="F98" s="310">
        <f>ROUND('Расчет участников НИР'!$H100*50%-$E98,2)</f>
        <v>0</v>
      </c>
      <c r="G98" s="310" t="str">
        <f t="shared" si="19"/>
        <v>0,00</v>
      </c>
      <c r="H98" s="310">
        <f>IFERROR(ROUND(IF('Состав ВТК'!P93="",IF(AND('Состав ВТК'!M93&gt;=Выплаты!$G$8,'Состав ВТК'!L93&lt;=Выплаты!$G$8),ROUND(('Расчет участников НИР'!$H100*'счеталка премий'!O90),2),0),IF(AND('Состав ВТК'!Q93&gt;=Выплаты!$G$8,'Состав ВТК'!P93&lt;=Выплаты!$G$8),ROUND(('Расчет участников НИР'!$H100*'счеталка премий'!O90),2),0)),2),0)</f>
        <v>0</v>
      </c>
      <c r="I98" s="310">
        <f>IFERROR(ROUND(IF(H98=0,ROUND(('Расчет участников НИР'!$H100*'счеталка премий'!O90),2)-H98,0),2),0)</f>
        <v>0</v>
      </c>
      <c r="J98" s="310">
        <f t="shared" si="20"/>
        <v>0</v>
      </c>
      <c r="K98" s="306"/>
      <c r="L98" s="310" t="str">
        <f t="shared" si="21"/>
        <v>0,00</v>
      </c>
      <c r="M98" s="310">
        <f>IFERROR(ROUND(IF('Состав ВТК'!P93="",IF(AND('Состав ВТК'!M93&gt;=Выплаты!$L$8,'Состав ВТК'!L93&lt;=Выплаты!$L$8),ROUND(IF('счеталка премий'!I90&lt;0,0,('Расчет участников НИР'!$H100*'счеталка премий'!P90)),2),0),IF(AND('Состав ВТК'!Q93&gt;=Выплаты!$L$8,'Состав ВТК'!P93&lt;=Выплаты!$L$8),ROUND(IF('счеталка премий'!I90&lt;0,0,('Расчет участников НИР'!$H100*'счеталка премий'!P90)),2),0)),2),0)</f>
        <v>0</v>
      </c>
      <c r="N98" s="310">
        <f>IFERROR(ROUND(IF(M98=0,ROUND(('Расчет участников НИР'!$H100*'счеталка премий'!P90),2)-M98,0),2),0)</f>
        <v>0</v>
      </c>
      <c r="O98" s="310">
        <f t="shared" si="16"/>
        <v>0</v>
      </c>
      <c r="P98" s="306"/>
      <c r="Q98" s="310" t="str">
        <f t="shared" si="22"/>
        <v>0,00</v>
      </c>
      <c r="R98" s="310">
        <f>IFERROR(ROUND(IF('Состав ВТК'!P93="",IF(AND('Состав ВТК'!M93&gt;=Выплаты!$Q$8,'Состав ВТК'!L93&lt;=Выплаты!$Q$8),ROUND(IF('счеталка премий'!J90&lt;0,0,('Расчет участников НИР'!$H100*'счеталка премий'!Q90)),2),0),IF(AND('Состав ВТК'!Q93&gt;=Выплаты!$Q$8,'Состав ВТК'!P93&lt;=Выплаты!$Q$8),ROUND(IF('счеталка премий'!J90&lt;0,0,('Расчет участников НИР'!$H100*'счеталка премий'!Q90)),2),0)),2),0)</f>
        <v>0</v>
      </c>
      <c r="S98" s="310">
        <f>IFERROR(ROUND(IF(R98=0,ROUND(('Расчет участников НИР'!$H100*'счеталка премий'!Q90),2)-R98,0),2),0)</f>
        <v>0</v>
      </c>
      <c r="T98" s="310">
        <f t="shared" si="17"/>
        <v>0</v>
      </c>
      <c r="U98" s="306"/>
      <c r="V98" s="310">
        <f t="shared" si="23"/>
        <v>0</v>
      </c>
      <c r="W98" s="310" t="str">
        <f t="shared" si="24"/>
        <v>0,00</v>
      </c>
      <c r="X98" s="310">
        <f>IFERROR(ROUND(IF('Состав ВТК'!P93="",IF('Состав ВТК'!M93&gt;=Выплаты!$V$8,ROUND(IF('счеталка премий'!K90&lt;0,0,'Расчет участников НИР'!$H100*'счеталка премий'!R90),2),0),IF('Состав ВТК'!Q93&gt;=Выплаты!$V$8,ROUND(IF('счеталка премий'!K90&lt;0,0,'Расчет участников НИР'!$H100*'счеталка премий'!R90),2),0)),2),0)</f>
        <v>0</v>
      </c>
      <c r="Y98" s="310">
        <f>IFERROR(ROUND(IF(OR(IF('Состав ВТК'!L93="",AND('Состав ВТК'!Q93&lt;=Выплаты!$V$8,'Состав ВТК'!P93&lt;Выплаты!$V$8),AND('Состав ВТК'!M93&lt;=Выплаты!$V$8,'Состав ВТК'!$K93=справочник!$A$5)),W98=0),0,$Y$12/(Распределение!$N$11-SUMIF($W$14:$W$114,0,Распределение!$N$13:$N$125))*Распределение!N97),2),"0,00")</f>
        <v>0</v>
      </c>
      <c r="Z98" s="310">
        <f>IFERROR(ROUND(IF(X98=0,ROUND(('Расчет участников НИР'!$H100*'счеталка премий'!R90),2)-X98,0),2),0)</f>
        <v>0</v>
      </c>
      <c r="AA98" s="306"/>
      <c r="AB98" s="309">
        <f t="shared" si="25"/>
        <v>0</v>
      </c>
      <c r="AC98" s="309">
        <f t="shared" si="18"/>
        <v>0</v>
      </c>
      <c r="AE98" s="308"/>
    </row>
    <row r="99" spans="1:31" hidden="1" x14ac:dyDescent="0.25">
      <c r="A99" s="247">
        <v>86</v>
      </c>
      <c r="B99" s="602">
        <f>'Состав ВТК'!$B94</f>
        <v>0</v>
      </c>
      <c r="C99" s="310" t="str">
        <f>IFERROR(VLOOKUP($B99,'Состав ВТК'!$B$9:$I$108,7,FALSE),"-")</f>
        <v>-</v>
      </c>
      <c r="D99" s="310" t="str">
        <f>IFERROR(VLOOKUP($B99,'Состав ВТК'!$B$9:$I$108,8,FALSE),"-")</f>
        <v>-</v>
      </c>
      <c r="E99" s="310">
        <f>ROUND(IF($B99='Расчет участников НИР'!$A101,'Расчет участников НИР'!$M101),2)</f>
        <v>0</v>
      </c>
      <c r="F99" s="310">
        <f>ROUND('Расчет участников НИР'!$H101*50%-$E99,2)</f>
        <v>0</v>
      </c>
      <c r="G99" s="310" t="str">
        <f t="shared" si="19"/>
        <v>0,00</v>
      </c>
      <c r="H99" s="310">
        <f>IFERROR(ROUND(IF('Состав ВТК'!P94="",IF(AND('Состав ВТК'!M94&gt;=Выплаты!$G$8,'Состав ВТК'!L94&lt;=Выплаты!$G$8),ROUND(('Расчет участников НИР'!$H101*'счеталка премий'!O91),2),0),IF(AND('Состав ВТК'!Q94&gt;=Выплаты!$G$8,'Состав ВТК'!P94&lt;=Выплаты!$G$8),ROUND(('Расчет участников НИР'!$H101*'счеталка премий'!O91),2),0)),2),0)</f>
        <v>0</v>
      </c>
      <c r="I99" s="310">
        <f>IFERROR(ROUND(IF(H99=0,ROUND(('Расчет участников НИР'!$H101*'счеталка премий'!O91),2)-H99,0),2),0)</f>
        <v>0</v>
      </c>
      <c r="J99" s="310">
        <f t="shared" si="20"/>
        <v>0</v>
      </c>
      <c r="K99" s="306"/>
      <c r="L99" s="310" t="str">
        <f t="shared" si="21"/>
        <v>0,00</v>
      </c>
      <c r="M99" s="310">
        <f>IFERROR(ROUND(IF('Состав ВТК'!P94="",IF(AND('Состав ВТК'!M94&gt;=Выплаты!$L$8,'Состав ВТК'!L94&lt;=Выплаты!$L$8),ROUND(IF('счеталка премий'!I91&lt;0,0,('Расчет участников НИР'!$H101*'счеталка премий'!P91)),2),0),IF(AND('Состав ВТК'!Q94&gt;=Выплаты!$L$8,'Состав ВТК'!P94&lt;=Выплаты!$L$8),ROUND(IF('счеталка премий'!I91&lt;0,0,('Расчет участников НИР'!$H101*'счеталка премий'!P91)),2),0)),2),0)</f>
        <v>0</v>
      </c>
      <c r="N99" s="310">
        <f>IFERROR(ROUND(IF(M99=0,ROUND(('Расчет участников НИР'!$H101*'счеталка премий'!P91),2)-M99,0),2),0)</f>
        <v>0</v>
      </c>
      <c r="O99" s="310">
        <f t="shared" si="16"/>
        <v>0</v>
      </c>
      <c r="P99" s="306"/>
      <c r="Q99" s="310" t="str">
        <f t="shared" si="22"/>
        <v>0,00</v>
      </c>
      <c r="R99" s="310">
        <f>IFERROR(ROUND(IF('Состав ВТК'!P94="",IF(AND('Состав ВТК'!M94&gt;=Выплаты!$Q$8,'Состав ВТК'!L94&lt;=Выплаты!$Q$8),ROUND(IF('счеталка премий'!J91&lt;0,0,('Расчет участников НИР'!$H101*'счеталка премий'!Q91)),2),0),IF(AND('Состав ВТК'!Q94&gt;=Выплаты!$Q$8,'Состав ВТК'!P94&lt;=Выплаты!$Q$8),ROUND(IF('счеталка премий'!J91&lt;0,0,('Расчет участников НИР'!$H101*'счеталка премий'!Q91)),2),0)),2),0)</f>
        <v>0</v>
      </c>
      <c r="S99" s="310">
        <f>IFERROR(ROUND(IF(R99=0,ROUND(('Расчет участников НИР'!$H101*'счеталка премий'!Q91),2)-R99,0),2),0)</f>
        <v>0</v>
      </c>
      <c r="T99" s="310">
        <f t="shared" si="17"/>
        <v>0</v>
      </c>
      <c r="U99" s="306"/>
      <c r="V99" s="310">
        <f t="shared" si="23"/>
        <v>0</v>
      </c>
      <c r="W99" s="310" t="str">
        <f t="shared" si="24"/>
        <v>0,00</v>
      </c>
      <c r="X99" s="310">
        <f>IFERROR(ROUND(IF('Состав ВТК'!P94="",IF('Состав ВТК'!M94&gt;=Выплаты!$V$8,ROUND(IF('счеталка премий'!K91&lt;0,0,'Расчет участников НИР'!$H101*'счеталка премий'!R91),2),0),IF('Состав ВТК'!Q94&gt;=Выплаты!$V$8,ROUND(IF('счеталка премий'!K91&lt;0,0,'Расчет участников НИР'!$H101*'счеталка премий'!R91),2),0)),2),0)</f>
        <v>0</v>
      </c>
      <c r="Y99" s="310">
        <f>IFERROR(ROUND(IF(OR(IF('Состав ВТК'!L94="",AND('Состав ВТК'!Q94&lt;=Выплаты!$V$8,'Состав ВТК'!P94&lt;Выплаты!$V$8),AND('Состав ВТК'!M94&lt;=Выплаты!$V$8,'Состав ВТК'!$K94=справочник!$A$5)),W99=0),0,$Y$12/(Распределение!$N$11-SUMIF($W$14:$W$114,0,Распределение!$N$13:$N$125))*Распределение!N98),2),"0,00")</f>
        <v>0</v>
      </c>
      <c r="Z99" s="310">
        <f>IFERROR(ROUND(IF(X99=0,ROUND(('Расчет участников НИР'!$H101*'счеталка премий'!R91),2)-X99,0),2),0)</f>
        <v>0</v>
      </c>
      <c r="AA99" s="306"/>
      <c r="AB99" s="309">
        <f t="shared" si="25"/>
        <v>0</v>
      </c>
      <c r="AC99" s="309">
        <f t="shared" si="18"/>
        <v>0</v>
      </c>
      <c r="AE99" s="308"/>
    </row>
    <row r="100" spans="1:31" hidden="1" x14ac:dyDescent="0.25">
      <c r="A100" s="247">
        <v>87</v>
      </c>
      <c r="B100" s="602">
        <f>'Состав ВТК'!$B95</f>
        <v>0</v>
      </c>
      <c r="C100" s="310" t="str">
        <f>IFERROR(VLOOKUP($B100,'Состав ВТК'!$B$9:$I$108,7,FALSE),"-")</f>
        <v>-</v>
      </c>
      <c r="D100" s="310" t="str">
        <f>IFERROR(VLOOKUP($B100,'Состав ВТК'!$B$9:$I$108,8,FALSE),"-")</f>
        <v>-</v>
      </c>
      <c r="E100" s="310">
        <f>ROUND(IF($B100='Расчет участников НИР'!$A102,'Расчет участников НИР'!$M102),2)</f>
        <v>0</v>
      </c>
      <c r="F100" s="310">
        <f>ROUND('Расчет участников НИР'!$H102*50%-$E100,2)</f>
        <v>0</v>
      </c>
      <c r="G100" s="310" t="str">
        <f t="shared" si="19"/>
        <v>0,00</v>
      </c>
      <c r="H100" s="310">
        <f>IFERROR(ROUND(IF('Состав ВТК'!P95="",IF(AND('Состав ВТК'!M95&gt;=Выплаты!$G$8,'Состав ВТК'!L95&lt;=Выплаты!$G$8),ROUND(('Расчет участников НИР'!$H102*'счеталка премий'!O92),2),0),IF(AND('Состав ВТК'!Q95&gt;=Выплаты!$G$8,'Состав ВТК'!P95&lt;=Выплаты!$G$8),ROUND(('Расчет участников НИР'!$H102*'счеталка премий'!O92),2),0)),2),0)</f>
        <v>0</v>
      </c>
      <c r="I100" s="310">
        <f>IFERROR(ROUND(IF(H100=0,ROUND(('Расчет участников НИР'!$H102*'счеталка премий'!O92),2)-H100,0),2),0)</f>
        <v>0</v>
      </c>
      <c r="J100" s="310">
        <f t="shared" si="20"/>
        <v>0</v>
      </c>
      <c r="K100" s="306"/>
      <c r="L100" s="310" t="str">
        <f t="shared" si="21"/>
        <v>0,00</v>
      </c>
      <c r="M100" s="310">
        <f>IFERROR(ROUND(IF('Состав ВТК'!P95="",IF(AND('Состав ВТК'!M95&gt;=Выплаты!$L$8,'Состав ВТК'!L95&lt;=Выплаты!$L$8),ROUND(IF('счеталка премий'!I92&lt;0,0,('Расчет участников НИР'!$H102*'счеталка премий'!P92)),2),0),IF(AND('Состав ВТК'!Q95&gt;=Выплаты!$L$8,'Состав ВТК'!P95&lt;=Выплаты!$L$8),ROUND(IF('счеталка премий'!I92&lt;0,0,('Расчет участников НИР'!$H102*'счеталка премий'!P92)),2),0)),2),0)</f>
        <v>0</v>
      </c>
      <c r="N100" s="310">
        <f>IFERROR(ROUND(IF(M100=0,ROUND(('Расчет участников НИР'!$H102*'счеталка премий'!P92),2)-M100,0),2),0)</f>
        <v>0</v>
      </c>
      <c r="O100" s="310">
        <f t="shared" si="16"/>
        <v>0</v>
      </c>
      <c r="P100" s="306"/>
      <c r="Q100" s="310" t="str">
        <f t="shared" si="22"/>
        <v>0,00</v>
      </c>
      <c r="R100" s="310">
        <f>IFERROR(ROUND(IF('Состав ВТК'!P95="",IF(AND('Состав ВТК'!M95&gt;=Выплаты!$Q$8,'Состав ВТК'!L95&lt;=Выплаты!$Q$8),ROUND(IF('счеталка премий'!J92&lt;0,0,('Расчет участников НИР'!$H102*'счеталка премий'!Q92)),2),0),IF(AND('Состав ВТК'!Q95&gt;=Выплаты!$Q$8,'Состав ВТК'!P95&lt;=Выплаты!$Q$8),ROUND(IF('счеталка премий'!J92&lt;0,0,('Расчет участников НИР'!$H102*'счеталка премий'!Q92)),2),0)),2),0)</f>
        <v>0</v>
      </c>
      <c r="S100" s="310">
        <f>IFERROR(ROUND(IF(R100=0,ROUND(('Расчет участников НИР'!$H102*'счеталка премий'!Q92),2)-R100,0),2),0)</f>
        <v>0</v>
      </c>
      <c r="T100" s="310">
        <f t="shared" si="17"/>
        <v>0</v>
      </c>
      <c r="U100" s="306"/>
      <c r="V100" s="310">
        <f t="shared" si="23"/>
        <v>0</v>
      </c>
      <c r="W100" s="310" t="str">
        <f t="shared" si="24"/>
        <v>0,00</v>
      </c>
      <c r="X100" s="310">
        <f>IFERROR(ROUND(IF('Состав ВТК'!P95="",IF('Состав ВТК'!M95&gt;=Выплаты!$V$8,ROUND(IF('счеталка премий'!K92&lt;0,0,'Расчет участников НИР'!$H102*'счеталка премий'!R92),2),0),IF('Состав ВТК'!Q95&gt;=Выплаты!$V$8,ROUND(IF('счеталка премий'!K92&lt;0,0,'Расчет участников НИР'!$H102*'счеталка премий'!R92),2),0)),2),0)</f>
        <v>0</v>
      </c>
      <c r="Y100" s="310">
        <f>IFERROR(ROUND(IF(OR(IF('Состав ВТК'!L95="",AND('Состав ВТК'!Q95&lt;=Выплаты!$V$8,'Состав ВТК'!P95&lt;Выплаты!$V$8),AND('Состав ВТК'!M95&lt;=Выплаты!$V$8,'Состав ВТК'!$K95=справочник!$A$5)),W100=0),0,$Y$12/(Распределение!$N$11-SUMIF($W$14:$W$114,0,Распределение!$N$13:$N$125))*Распределение!N99),2),"0,00")</f>
        <v>0</v>
      </c>
      <c r="Z100" s="310">
        <f>IFERROR(ROUND(IF(X100=0,ROUND(('Расчет участников НИР'!$H102*'счеталка премий'!R92),2)-X100,0),2),0)</f>
        <v>0</v>
      </c>
      <c r="AA100" s="306"/>
      <c r="AB100" s="309">
        <f t="shared" si="25"/>
        <v>0</v>
      </c>
      <c r="AC100" s="309">
        <f t="shared" si="18"/>
        <v>0</v>
      </c>
      <c r="AE100" s="308"/>
    </row>
    <row r="101" spans="1:31" hidden="1" x14ac:dyDescent="0.25">
      <c r="A101" s="247">
        <v>88</v>
      </c>
      <c r="B101" s="602">
        <f>'Состав ВТК'!$B96</f>
        <v>0</v>
      </c>
      <c r="C101" s="310" t="str">
        <f>IFERROR(VLOOKUP($B101,'Состав ВТК'!$B$9:$I$108,7,FALSE),"-")</f>
        <v>-</v>
      </c>
      <c r="D101" s="310" t="str">
        <f>IFERROR(VLOOKUP($B101,'Состав ВТК'!$B$9:$I$108,8,FALSE),"-")</f>
        <v>-</v>
      </c>
      <c r="E101" s="310">
        <f>ROUND(IF($B101='Расчет участников НИР'!$A103,'Расчет участников НИР'!$M103),2)</f>
        <v>0</v>
      </c>
      <c r="F101" s="310">
        <f>ROUND('Расчет участников НИР'!$H103*50%-$E101,2)</f>
        <v>0</v>
      </c>
      <c r="G101" s="310" t="str">
        <f t="shared" si="19"/>
        <v>0,00</v>
      </c>
      <c r="H101" s="310">
        <f>IFERROR(ROUND(IF('Состав ВТК'!P96="",IF(AND('Состав ВТК'!M96&gt;=Выплаты!$G$8,'Состав ВТК'!L96&lt;=Выплаты!$G$8),ROUND(('Расчет участников НИР'!$H103*'счеталка премий'!O93),2),0),IF(AND('Состав ВТК'!Q96&gt;=Выплаты!$G$8,'Состав ВТК'!P96&lt;=Выплаты!$G$8),ROUND(('Расчет участников НИР'!$H103*'счеталка премий'!O93),2),0)),2),0)</f>
        <v>0</v>
      </c>
      <c r="I101" s="310">
        <f>IFERROR(ROUND(IF(H101=0,ROUND(('Расчет участников НИР'!$H103*'счеталка премий'!O93),2)-H101,0),2),0)</f>
        <v>0</v>
      </c>
      <c r="J101" s="310">
        <f t="shared" si="20"/>
        <v>0</v>
      </c>
      <c r="K101" s="306"/>
      <c r="L101" s="310" t="str">
        <f t="shared" si="21"/>
        <v>0,00</v>
      </c>
      <c r="M101" s="310">
        <f>IFERROR(ROUND(IF('Состав ВТК'!P96="",IF(AND('Состав ВТК'!M96&gt;=Выплаты!$L$8,'Состав ВТК'!L96&lt;=Выплаты!$L$8),ROUND(IF('счеталка премий'!I93&lt;0,0,('Расчет участников НИР'!$H103*'счеталка премий'!P93)),2),0),IF(AND('Состав ВТК'!Q96&gt;=Выплаты!$L$8,'Состав ВТК'!P96&lt;=Выплаты!$L$8),ROUND(IF('счеталка премий'!I93&lt;0,0,('Расчет участников НИР'!$H103*'счеталка премий'!P93)),2),0)),2),0)</f>
        <v>0</v>
      </c>
      <c r="N101" s="310">
        <f>IFERROR(ROUND(IF(M101=0,ROUND(('Расчет участников НИР'!$H103*'счеталка премий'!P93),2)-M101,0),2),0)</f>
        <v>0</v>
      </c>
      <c r="O101" s="310">
        <f t="shared" si="16"/>
        <v>0</v>
      </c>
      <c r="P101" s="306"/>
      <c r="Q101" s="310" t="str">
        <f t="shared" si="22"/>
        <v>0,00</v>
      </c>
      <c r="R101" s="310">
        <f>IFERROR(ROUND(IF('Состав ВТК'!P96="",IF(AND('Состав ВТК'!M96&gt;=Выплаты!$Q$8,'Состав ВТК'!L96&lt;=Выплаты!$Q$8),ROUND(IF('счеталка премий'!J93&lt;0,0,('Расчет участников НИР'!$H103*'счеталка премий'!Q93)),2),0),IF(AND('Состав ВТК'!Q96&gt;=Выплаты!$Q$8,'Состав ВТК'!P96&lt;=Выплаты!$Q$8),ROUND(IF('счеталка премий'!J93&lt;0,0,('Расчет участников НИР'!$H103*'счеталка премий'!Q93)),2),0)),2),0)</f>
        <v>0</v>
      </c>
      <c r="S101" s="310">
        <f>IFERROR(ROUND(IF(R101=0,ROUND(('Расчет участников НИР'!$H103*'счеталка премий'!Q93),2)-R101,0),2),0)</f>
        <v>0</v>
      </c>
      <c r="T101" s="310">
        <f t="shared" si="17"/>
        <v>0</v>
      </c>
      <c r="U101" s="306"/>
      <c r="V101" s="310">
        <f t="shared" si="23"/>
        <v>0</v>
      </c>
      <c r="W101" s="310" t="str">
        <f t="shared" si="24"/>
        <v>0,00</v>
      </c>
      <c r="X101" s="310">
        <f>IFERROR(ROUND(IF('Состав ВТК'!P96="",IF('Состав ВТК'!M96&gt;=Выплаты!$V$8,ROUND(IF('счеталка премий'!K93&lt;0,0,'Расчет участников НИР'!$H103*'счеталка премий'!R93),2),0),IF('Состав ВТК'!Q96&gt;=Выплаты!$V$8,ROUND(IF('счеталка премий'!K93&lt;0,0,'Расчет участников НИР'!$H103*'счеталка премий'!R93),2),0)),2),0)</f>
        <v>0</v>
      </c>
      <c r="Y101" s="310">
        <f>IFERROR(ROUND(IF(OR(IF('Состав ВТК'!L96="",AND('Состав ВТК'!Q96&lt;=Выплаты!$V$8,'Состав ВТК'!P96&lt;Выплаты!$V$8),AND('Состав ВТК'!M96&lt;=Выплаты!$V$8,'Состав ВТК'!$K96=справочник!$A$5)),W101=0),0,$Y$12/(Распределение!$N$11-SUMIF($W$14:$W$114,0,Распределение!$N$13:$N$125))*Распределение!N100),2),"0,00")</f>
        <v>0</v>
      </c>
      <c r="Z101" s="310">
        <f>IFERROR(ROUND(IF(X101=0,ROUND(('Расчет участников НИР'!$H103*'счеталка премий'!R93),2)-X101,0),2),0)</f>
        <v>0</v>
      </c>
      <c r="AA101" s="306"/>
      <c r="AB101" s="309">
        <f t="shared" si="25"/>
        <v>0</v>
      </c>
      <c r="AC101" s="309">
        <f t="shared" si="18"/>
        <v>0</v>
      </c>
      <c r="AE101" s="308"/>
    </row>
    <row r="102" spans="1:31" hidden="1" x14ac:dyDescent="0.25">
      <c r="A102" s="247">
        <v>89</v>
      </c>
      <c r="B102" s="602">
        <f>'Состав ВТК'!$B97</f>
        <v>0</v>
      </c>
      <c r="C102" s="310" t="str">
        <f>IFERROR(VLOOKUP($B102,'Состав ВТК'!$B$9:$I$108,7,FALSE),"-")</f>
        <v>-</v>
      </c>
      <c r="D102" s="310" t="str">
        <f>IFERROR(VLOOKUP($B102,'Состав ВТК'!$B$9:$I$108,8,FALSE),"-")</f>
        <v>-</v>
      </c>
      <c r="E102" s="310">
        <f>ROUND(IF($B102='Расчет участников НИР'!$A104,'Расчет участников НИР'!$M104),2)</f>
        <v>0</v>
      </c>
      <c r="F102" s="310">
        <f>ROUND('Расчет участников НИР'!$H104*50%-$E102,2)</f>
        <v>0</v>
      </c>
      <c r="G102" s="310" t="str">
        <f t="shared" si="19"/>
        <v>0,00</v>
      </c>
      <c r="H102" s="310">
        <f>IFERROR(ROUND(IF('Состав ВТК'!P97="",IF(AND('Состав ВТК'!M97&gt;=Выплаты!$G$8,'Состав ВТК'!L97&lt;=Выплаты!$G$8),ROUND(('Расчет участников НИР'!$H104*'счеталка премий'!O94),2),0),IF(AND('Состав ВТК'!Q97&gt;=Выплаты!$G$8,'Состав ВТК'!P97&lt;=Выплаты!$G$8),ROUND(('Расчет участников НИР'!$H104*'счеталка премий'!O94),2),0)),2),0)</f>
        <v>0</v>
      </c>
      <c r="I102" s="310">
        <f>IFERROR(ROUND(IF(H102=0,ROUND(('Расчет участников НИР'!$H104*'счеталка премий'!O94),2)-H102,0),2),0)</f>
        <v>0</v>
      </c>
      <c r="J102" s="310">
        <f t="shared" si="20"/>
        <v>0</v>
      </c>
      <c r="K102" s="306"/>
      <c r="L102" s="310" t="str">
        <f t="shared" si="21"/>
        <v>0,00</v>
      </c>
      <c r="M102" s="310">
        <f>IFERROR(ROUND(IF('Состав ВТК'!P97="",IF(AND('Состав ВТК'!M97&gt;=Выплаты!$L$8,'Состав ВТК'!L97&lt;=Выплаты!$L$8),ROUND(IF('счеталка премий'!I94&lt;0,0,('Расчет участников НИР'!$H104*'счеталка премий'!P94)),2),0),IF(AND('Состав ВТК'!Q97&gt;=Выплаты!$L$8,'Состав ВТК'!P97&lt;=Выплаты!$L$8),ROUND(IF('счеталка премий'!I94&lt;0,0,('Расчет участников НИР'!$H104*'счеталка премий'!P94)),2),0)),2),0)</f>
        <v>0</v>
      </c>
      <c r="N102" s="310">
        <f>IFERROR(ROUND(IF(M102=0,ROUND(('Расчет участников НИР'!$H104*'счеталка премий'!P94),2)-M102,0),2),0)</f>
        <v>0</v>
      </c>
      <c r="O102" s="310">
        <f t="shared" si="16"/>
        <v>0</v>
      </c>
      <c r="P102" s="306"/>
      <c r="Q102" s="310" t="str">
        <f t="shared" si="22"/>
        <v>0,00</v>
      </c>
      <c r="R102" s="310">
        <f>IFERROR(ROUND(IF('Состав ВТК'!P97="",IF(AND('Состав ВТК'!M97&gt;=Выплаты!$Q$8,'Состав ВТК'!L97&lt;=Выплаты!$Q$8),ROUND(IF('счеталка премий'!J94&lt;0,0,('Расчет участников НИР'!$H104*'счеталка премий'!Q94)),2),0),IF(AND('Состав ВТК'!Q97&gt;=Выплаты!$Q$8,'Состав ВТК'!P97&lt;=Выплаты!$Q$8),ROUND(IF('счеталка премий'!J94&lt;0,0,('Расчет участников НИР'!$H104*'счеталка премий'!Q94)),2),0)),2),0)</f>
        <v>0</v>
      </c>
      <c r="S102" s="310">
        <f>IFERROR(ROUND(IF(R102=0,ROUND(('Расчет участников НИР'!$H104*'счеталка премий'!Q94),2)-R102,0),2),0)</f>
        <v>0</v>
      </c>
      <c r="T102" s="310">
        <f t="shared" si="17"/>
        <v>0</v>
      </c>
      <c r="U102" s="306"/>
      <c r="V102" s="310">
        <f t="shared" si="23"/>
        <v>0</v>
      </c>
      <c r="W102" s="310" t="str">
        <f t="shared" si="24"/>
        <v>0,00</v>
      </c>
      <c r="X102" s="310">
        <f>IFERROR(ROUND(IF('Состав ВТК'!P97="",IF('Состав ВТК'!M97&gt;=Выплаты!$V$8,ROUND(IF('счеталка премий'!K94&lt;0,0,'Расчет участников НИР'!$H104*'счеталка премий'!R94),2),0),IF('Состав ВТК'!Q97&gt;=Выплаты!$V$8,ROUND(IF('счеталка премий'!K94&lt;0,0,'Расчет участников НИР'!$H104*'счеталка премий'!R94),2),0)),2),0)</f>
        <v>0</v>
      </c>
      <c r="Y102" s="310">
        <f>IFERROR(ROUND(IF(OR(IF('Состав ВТК'!L97="",AND('Состав ВТК'!Q97&lt;=Выплаты!$V$8,'Состав ВТК'!P97&lt;Выплаты!$V$8),AND('Состав ВТК'!M97&lt;=Выплаты!$V$8,'Состав ВТК'!$K97=справочник!$A$5)),W102=0),0,$Y$12/(Распределение!$N$11-SUMIF($W$14:$W$114,0,Распределение!$N$13:$N$125))*Распределение!N101),2),"0,00")</f>
        <v>0</v>
      </c>
      <c r="Z102" s="310">
        <f>IFERROR(ROUND(IF(X102=0,ROUND(('Расчет участников НИР'!$H104*'счеталка премий'!R94),2)-X102,0),2),0)</f>
        <v>0</v>
      </c>
      <c r="AA102" s="306"/>
      <c r="AB102" s="309">
        <f t="shared" si="25"/>
        <v>0</v>
      </c>
      <c r="AC102" s="309">
        <f t="shared" si="18"/>
        <v>0</v>
      </c>
      <c r="AE102" s="308"/>
    </row>
    <row r="103" spans="1:31" hidden="1" x14ac:dyDescent="0.25">
      <c r="A103" s="247">
        <v>90</v>
      </c>
      <c r="B103" s="602">
        <f>'Состав ВТК'!$B98</f>
        <v>0</v>
      </c>
      <c r="C103" s="310" t="str">
        <f>IFERROR(VLOOKUP($B103,'Состав ВТК'!$B$9:$I$108,7,FALSE),"-")</f>
        <v>-</v>
      </c>
      <c r="D103" s="310" t="str">
        <f>IFERROR(VLOOKUP($B103,'Состав ВТК'!$B$9:$I$108,8,FALSE),"-")</f>
        <v>-</v>
      </c>
      <c r="E103" s="310">
        <f>ROUND(IF($B103='Расчет участников НИР'!$A105,'Расчет участников НИР'!$M105),2)</f>
        <v>0</v>
      </c>
      <c r="F103" s="310">
        <f>ROUND('Расчет участников НИР'!$H105*50%-$E103,2)</f>
        <v>0</v>
      </c>
      <c r="G103" s="310" t="str">
        <f t="shared" si="19"/>
        <v>0,00</v>
      </c>
      <c r="H103" s="310">
        <f>IFERROR(ROUND(IF('Состав ВТК'!P98="",IF(AND('Состав ВТК'!M98&gt;=Выплаты!$G$8,'Состав ВТК'!L98&lt;=Выплаты!$G$8),ROUND(('Расчет участников НИР'!$H105*'счеталка премий'!O95),2),0),IF(AND('Состав ВТК'!Q98&gt;=Выплаты!$G$8,'Состав ВТК'!P98&lt;=Выплаты!$G$8),ROUND(('Расчет участников НИР'!$H105*'счеталка премий'!O95),2),0)),2),0)</f>
        <v>0</v>
      </c>
      <c r="I103" s="310">
        <f>IFERROR(ROUND(IF(H103=0,ROUND(('Расчет участников НИР'!$H105*'счеталка премий'!O95),2)-H103,0),2),0)</f>
        <v>0</v>
      </c>
      <c r="J103" s="310">
        <f t="shared" si="20"/>
        <v>0</v>
      </c>
      <c r="K103" s="306"/>
      <c r="L103" s="310" t="str">
        <f t="shared" si="21"/>
        <v>0,00</v>
      </c>
      <c r="M103" s="310">
        <f>IFERROR(ROUND(IF('Состав ВТК'!P98="",IF(AND('Состав ВТК'!M98&gt;=Выплаты!$L$8,'Состав ВТК'!L98&lt;=Выплаты!$L$8),ROUND(IF('счеталка премий'!I95&lt;0,0,('Расчет участников НИР'!$H105*'счеталка премий'!P95)),2),0),IF(AND('Состав ВТК'!Q98&gt;=Выплаты!$L$8,'Состав ВТК'!P98&lt;=Выплаты!$L$8),ROUND(IF('счеталка премий'!I95&lt;0,0,('Расчет участников НИР'!$H105*'счеталка премий'!P95)),2),0)),2),0)</f>
        <v>0</v>
      </c>
      <c r="N103" s="310">
        <f>IFERROR(ROUND(IF(M103=0,ROUND(('Расчет участников НИР'!$H105*'счеталка премий'!P95),2)-M103,0),2),0)</f>
        <v>0</v>
      </c>
      <c r="O103" s="310">
        <f t="shared" si="16"/>
        <v>0</v>
      </c>
      <c r="P103" s="306"/>
      <c r="Q103" s="310" t="str">
        <f t="shared" si="22"/>
        <v>0,00</v>
      </c>
      <c r="R103" s="310">
        <f>IFERROR(ROUND(IF('Состав ВТК'!P98="",IF(AND('Состав ВТК'!M98&gt;=Выплаты!$Q$8,'Состав ВТК'!L98&lt;=Выплаты!$Q$8),ROUND(IF('счеталка премий'!J95&lt;0,0,('Расчет участников НИР'!$H105*'счеталка премий'!Q95)),2),0),IF(AND('Состав ВТК'!Q98&gt;=Выплаты!$Q$8,'Состав ВТК'!P98&lt;=Выплаты!$Q$8),ROUND(IF('счеталка премий'!J95&lt;0,0,('Расчет участников НИР'!$H105*'счеталка премий'!Q95)),2),0)),2),0)</f>
        <v>0</v>
      </c>
      <c r="S103" s="310">
        <f>IFERROR(ROUND(IF(R103=0,ROUND(('Расчет участников НИР'!$H105*'счеталка премий'!Q95),2)-R103,0),2),0)</f>
        <v>0</v>
      </c>
      <c r="T103" s="310">
        <f t="shared" si="17"/>
        <v>0</v>
      </c>
      <c r="U103" s="306"/>
      <c r="V103" s="310">
        <f t="shared" si="23"/>
        <v>0</v>
      </c>
      <c r="W103" s="310" t="str">
        <f t="shared" si="24"/>
        <v>0,00</v>
      </c>
      <c r="X103" s="310">
        <f>IFERROR(ROUND(IF('Состав ВТК'!P98="",IF('Состав ВТК'!M98&gt;=Выплаты!$V$8,ROUND(IF('счеталка премий'!K95&lt;0,0,'Расчет участников НИР'!$H105*'счеталка премий'!R95),2),0),IF('Состав ВТК'!Q98&gt;=Выплаты!$V$8,ROUND(IF('счеталка премий'!K95&lt;0,0,'Расчет участников НИР'!$H105*'счеталка премий'!R95),2),0)),2),0)</f>
        <v>0</v>
      </c>
      <c r="Y103" s="310">
        <f>IFERROR(ROUND(IF(OR(IF('Состав ВТК'!L98="",AND('Состав ВТК'!Q98&lt;=Выплаты!$V$8,'Состав ВТК'!P98&lt;Выплаты!$V$8),AND('Состав ВТК'!M98&lt;=Выплаты!$V$8,'Состав ВТК'!$K98=справочник!$A$5)),W103=0),0,$Y$12/(Распределение!$N$11-SUMIF($W$14:$W$114,0,Распределение!$N$13:$N$125))*Распределение!N102),2),"0,00")</f>
        <v>0</v>
      </c>
      <c r="Z103" s="310">
        <f>IFERROR(ROUND(IF(X103=0,ROUND(('Расчет участников НИР'!$H105*'счеталка премий'!R95),2)-X103,0),2),0)</f>
        <v>0</v>
      </c>
      <c r="AA103" s="306"/>
      <c r="AB103" s="309">
        <f t="shared" si="25"/>
        <v>0</v>
      </c>
      <c r="AC103" s="309">
        <f t="shared" si="18"/>
        <v>0</v>
      </c>
      <c r="AE103" s="308"/>
    </row>
    <row r="104" spans="1:31" hidden="1" x14ac:dyDescent="0.25">
      <c r="A104" s="247">
        <v>91</v>
      </c>
      <c r="B104" s="602">
        <f>'Состав ВТК'!$B99</f>
        <v>0</v>
      </c>
      <c r="C104" s="310" t="str">
        <f>IFERROR(VLOOKUP($B104,'Состав ВТК'!$B$9:$I$108,7,FALSE),"-")</f>
        <v>-</v>
      </c>
      <c r="D104" s="310" t="str">
        <f>IFERROR(VLOOKUP($B104,'Состав ВТК'!$B$9:$I$108,8,FALSE),"-")</f>
        <v>-</v>
      </c>
      <c r="E104" s="310">
        <f>ROUND(IF($B104='Расчет участников НИР'!$A106,'Расчет участников НИР'!$M106),2)</f>
        <v>0</v>
      </c>
      <c r="F104" s="310">
        <f>ROUND('Расчет участников НИР'!$H106*50%-$E104,2)</f>
        <v>0</v>
      </c>
      <c r="G104" s="310" t="str">
        <f t="shared" si="19"/>
        <v>0,00</v>
      </c>
      <c r="H104" s="310">
        <f>IFERROR(ROUND(IF('Состав ВТК'!P99="",IF(AND('Состав ВТК'!M99&gt;=Выплаты!$G$8,'Состав ВТК'!L99&lt;=Выплаты!$G$8),ROUND(('Расчет участников НИР'!$H106*'счеталка премий'!O96),2),0),IF(AND('Состав ВТК'!Q99&gt;=Выплаты!$G$8,'Состав ВТК'!P99&lt;=Выплаты!$G$8),ROUND(('Расчет участников НИР'!$H106*'счеталка премий'!O96),2),0)),2),0)</f>
        <v>0</v>
      </c>
      <c r="I104" s="310">
        <f>IFERROR(ROUND(IF(H104=0,ROUND(('Расчет участников НИР'!$H106*'счеталка премий'!O96),2)-H104,0),2),0)</f>
        <v>0</v>
      </c>
      <c r="J104" s="310">
        <f t="shared" si="20"/>
        <v>0</v>
      </c>
      <c r="K104" s="306"/>
      <c r="L104" s="310" t="str">
        <f t="shared" si="21"/>
        <v>0,00</v>
      </c>
      <c r="M104" s="310">
        <f>IFERROR(ROUND(IF('Состав ВТК'!P99="",IF(AND('Состав ВТК'!M99&gt;=Выплаты!$L$8,'Состав ВТК'!L99&lt;=Выплаты!$L$8),ROUND(IF('счеталка премий'!I96&lt;0,0,('Расчет участников НИР'!$H106*'счеталка премий'!P96)),2),0),IF(AND('Состав ВТК'!Q99&gt;=Выплаты!$L$8,'Состав ВТК'!P99&lt;=Выплаты!$L$8),ROUND(IF('счеталка премий'!I96&lt;0,0,('Расчет участников НИР'!$H106*'счеталка премий'!P96)),2),0)),2),0)</f>
        <v>0</v>
      </c>
      <c r="N104" s="310">
        <f>IFERROR(ROUND(IF(M104=0,ROUND(('Расчет участников НИР'!$H106*'счеталка премий'!P96),2)-M104,0),2),0)</f>
        <v>0</v>
      </c>
      <c r="O104" s="310">
        <f t="shared" si="16"/>
        <v>0</v>
      </c>
      <c r="P104" s="306"/>
      <c r="Q104" s="310" t="str">
        <f t="shared" si="22"/>
        <v>0,00</v>
      </c>
      <c r="R104" s="310">
        <f>IFERROR(ROUND(IF('Состав ВТК'!P99="",IF(AND('Состав ВТК'!M99&gt;=Выплаты!$Q$8,'Состав ВТК'!L99&lt;=Выплаты!$Q$8),ROUND(IF('счеталка премий'!J96&lt;0,0,('Расчет участников НИР'!$H106*'счеталка премий'!Q96)),2),0),IF(AND('Состав ВТК'!Q99&gt;=Выплаты!$Q$8,'Состав ВТК'!P99&lt;=Выплаты!$Q$8),ROUND(IF('счеталка премий'!J96&lt;0,0,('Расчет участников НИР'!$H106*'счеталка премий'!Q96)),2),0)),2),0)</f>
        <v>0</v>
      </c>
      <c r="S104" s="310">
        <f>IFERROR(ROUND(IF(R104=0,ROUND(('Расчет участников НИР'!$H106*'счеталка премий'!Q96),2)-R104,0),2),0)</f>
        <v>0</v>
      </c>
      <c r="T104" s="310">
        <f t="shared" si="17"/>
        <v>0</v>
      </c>
      <c r="U104" s="306"/>
      <c r="V104" s="310">
        <f t="shared" si="23"/>
        <v>0</v>
      </c>
      <c r="W104" s="310" t="str">
        <f t="shared" si="24"/>
        <v>0,00</v>
      </c>
      <c r="X104" s="310">
        <f>IFERROR(ROUND(IF('Состав ВТК'!P99="",IF('Состав ВТК'!M99&gt;=Выплаты!$V$8,ROUND(IF('счеталка премий'!K96&lt;0,0,'Расчет участников НИР'!$H106*'счеталка премий'!R96),2),0),IF('Состав ВТК'!Q99&gt;=Выплаты!$V$8,ROUND(IF('счеталка премий'!K96&lt;0,0,'Расчет участников НИР'!$H106*'счеталка премий'!R96),2),0)),2),0)</f>
        <v>0</v>
      </c>
      <c r="Y104" s="310">
        <f>IFERROR(ROUND(IF(OR(IF('Состав ВТК'!L99="",AND('Состав ВТК'!Q99&lt;=Выплаты!$V$8,'Состав ВТК'!P99&lt;Выплаты!$V$8),AND('Состав ВТК'!M99&lt;=Выплаты!$V$8,'Состав ВТК'!$K99=справочник!$A$5)),W104=0),0,$Y$12/(Распределение!$N$11-SUMIF($W$14:$W$114,0,Распределение!$N$13:$N$125))*Распределение!N103),2),"0,00")</f>
        <v>0</v>
      </c>
      <c r="Z104" s="310">
        <f>IFERROR(ROUND(IF(X104=0,ROUND(('Расчет участников НИР'!$H106*'счеталка премий'!R96),2)-X104,0),2),0)</f>
        <v>0</v>
      </c>
      <c r="AA104" s="306"/>
      <c r="AB104" s="309">
        <f t="shared" si="25"/>
        <v>0</v>
      </c>
      <c r="AC104" s="309">
        <f t="shared" si="18"/>
        <v>0</v>
      </c>
      <c r="AE104" s="308"/>
    </row>
    <row r="105" spans="1:31" hidden="1" x14ac:dyDescent="0.25">
      <c r="A105" s="247">
        <v>92</v>
      </c>
      <c r="B105" s="602">
        <f>'Состав ВТК'!$B100</f>
        <v>0</v>
      </c>
      <c r="C105" s="310" t="str">
        <f>IFERROR(VLOOKUP($B105,'Состав ВТК'!$B$9:$I$108,7,FALSE),"-")</f>
        <v>-</v>
      </c>
      <c r="D105" s="310" t="str">
        <f>IFERROR(VLOOKUP($B105,'Состав ВТК'!$B$9:$I$108,8,FALSE),"-")</f>
        <v>-</v>
      </c>
      <c r="E105" s="310">
        <f>ROUND(IF($B105='Расчет участников НИР'!$A107,'Расчет участников НИР'!$M107),2)</f>
        <v>0</v>
      </c>
      <c r="F105" s="310">
        <f>ROUND('Расчет участников НИР'!$H107*50%-$E105,2)</f>
        <v>0</v>
      </c>
      <c r="G105" s="310" t="str">
        <f t="shared" si="19"/>
        <v>0,00</v>
      </c>
      <c r="H105" s="310">
        <f>IFERROR(ROUND(IF('Состав ВТК'!P100="",IF(AND('Состав ВТК'!M100&gt;=Выплаты!$G$8,'Состав ВТК'!L100&lt;=Выплаты!$G$8),ROUND(('Расчет участников НИР'!$H107*'счеталка премий'!O97),2),0),IF(AND('Состав ВТК'!Q100&gt;=Выплаты!$G$8,'Состав ВТК'!P100&lt;=Выплаты!$G$8),ROUND(('Расчет участников НИР'!$H107*'счеталка премий'!O97),2),0)),2),0)</f>
        <v>0</v>
      </c>
      <c r="I105" s="310">
        <f>IFERROR(ROUND(IF(H105=0,ROUND(('Расчет участников НИР'!$H107*'счеталка премий'!O97),2)-H105,0),2),0)</f>
        <v>0</v>
      </c>
      <c r="J105" s="310">
        <f t="shared" si="20"/>
        <v>0</v>
      </c>
      <c r="K105" s="306"/>
      <c r="L105" s="310" t="str">
        <f t="shared" si="21"/>
        <v>0,00</v>
      </c>
      <c r="M105" s="310">
        <f>IFERROR(ROUND(IF('Состав ВТК'!P100="",IF(AND('Состав ВТК'!M100&gt;=Выплаты!$L$8,'Состав ВТК'!L100&lt;=Выплаты!$L$8),ROUND(IF('счеталка премий'!I97&lt;0,0,('Расчет участников НИР'!$H107*'счеталка премий'!P97)),2),0),IF(AND('Состав ВТК'!Q100&gt;=Выплаты!$L$8,'Состав ВТК'!P100&lt;=Выплаты!$L$8),ROUND(IF('счеталка премий'!I97&lt;0,0,('Расчет участников НИР'!$H107*'счеталка премий'!P97)),2),0)),2),0)</f>
        <v>0</v>
      </c>
      <c r="N105" s="310">
        <f>IFERROR(ROUND(IF(M105=0,ROUND(('Расчет участников НИР'!$H107*'счеталка премий'!P97),2)-M105,0),2),0)</f>
        <v>0</v>
      </c>
      <c r="O105" s="310">
        <f t="shared" si="16"/>
        <v>0</v>
      </c>
      <c r="P105" s="306"/>
      <c r="Q105" s="310" t="str">
        <f t="shared" si="22"/>
        <v>0,00</v>
      </c>
      <c r="R105" s="310">
        <f>IFERROR(ROUND(IF('Состав ВТК'!P100="",IF(AND('Состав ВТК'!M100&gt;=Выплаты!$Q$8,'Состав ВТК'!L100&lt;=Выплаты!$Q$8),ROUND(IF('счеталка премий'!J97&lt;0,0,('Расчет участников НИР'!$H107*'счеталка премий'!Q97)),2),0),IF(AND('Состав ВТК'!Q100&gt;=Выплаты!$Q$8,'Состав ВТК'!P100&lt;=Выплаты!$Q$8),ROUND(IF('счеталка премий'!J97&lt;0,0,('Расчет участников НИР'!$H107*'счеталка премий'!Q97)),2),0)),2),0)</f>
        <v>0</v>
      </c>
      <c r="S105" s="310">
        <f>IFERROR(ROUND(IF(R105=0,ROUND(('Расчет участников НИР'!$H107*'счеталка премий'!Q97),2)-R105,0),2),0)</f>
        <v>0</v>
      </c>
      <c r="T105" s="310">
        <f t="shared" si="17"/>
        <v>0</v>
      </c>
      <c r="U105" s="306"/>
      <c r="V105" s="310">
        <f t="shared" si="23"/>
        <v>0</v>
      </c>
      <c r="W105" s="310" t="str">
        <f t="shared" si="24"/>
        <v>0,00</v>
      </c>
      <c r="X105" s="310">
        <f>IFERROR(ROUND(IF('Состав ВТК'!P100="",IF('Состав ВТК'!M100&gt;=Выплаты!$V$8,ROUND(IF('счеталка премий'!K97&lt;0,0,'Расчет участников НИР'!$H107*'счеталка премий'!R97),2),0),IF('Состав ВТК'!Q100&gt;=Выплаты!$V$8,ROUND(IF('счеталка премий'!K97&lt;0,0,'Расчет участников НИР'!$H107*'счеталка премий'!R97),2),0)),2),0)</f>
        <v>0</v>
      </c>
      <c r="Y105" s="310">
        <f>IFERROR(ROUND(IF(OR(IF('Состав ВТК'!L100="",AND('Состав ВТК'!Q100&lt;=Выплаты!$V$8,'Состав ВТК'!P100&lt;Выплаты!$V$8),AND('Состав ВТК'!M100&lt;=Выплаты!$V$8,'Состав ВТК'!$K100=справочник!$A$5)),W105=0),0,$Y$12/(Распределение!$N$11-SUMIF($W$14:$W$114,0,Распределение!$N$13:$N$125))*Распределение!N104),2),"0,00")</f>
        <v>0</v>
      </c>
      <c r="Z105" s="310">
        <f>IFERROR(ROUND(IF(X105=0,ROUND(('Расчет участников НИР'!$H107*'счеталка премий'!R97),2)-X105,0),2),0)</f>
        <v>0</v>
      </c>
      <c r="AA105" s="306"/>
      <c r="AB105" s="309">
        <f t="shared" si="25"/>
        <v>0</v>
      </c>
      <c r="AC105" s="309">
        <f t="shared" si="18"/>
        <v>0</v>
      </c>
      <c r="AE105" s="308"/>
    </row>
    <row r="106" spans="1:31" hidden="1" x14ac:dyDescent="0.25">
      <c r="A106" s="247">
        <v>93</v>
      </c>
      <c r="B106" s="602">
        <f>'Состав ВТК'!$B101</f>
        <v>0</v>
      </c>
      <c r="C106" s="310" t="str">
        <f>IFERROR(VLOOKUP($B106,'Состав ВТК'!$B$9:$I$108,7,FALSE),"-")</f>
        <v>-</v>
      </c>
      <c r="D106" s="310" t="str">
        <f>IFERROR(VLOOKUP($B106,'Состав ВТК'!$B$9:$I$108,8,FALSE),"-")</f>
        <v>-</v>
      </c>
      <c r="E106" s="310">
        <f>ROUND(IF($B106='Расчет участников НИР'!$A108,'Расчет участников НИР'!$M108),2)</f>
        <v>0</v>
      </c>
      <c r="F106" s="310">
        <f>ROUND('Расчет участников НИР'!$H108*50%-$E106,2)</f>
        <v>0</v>
      </c>
      <c r="G106" s="310" t="str">
        <f t="shared" si="19"/>
        <v>0,00</v>
      </c>
      <c r="H106" s="310">
        <f>IFERROR(ROUND(IF('Состав ВТК'!P101="",IF(AND('Состав ВТК'!M101&gt;=Выплаты!$G$8,'Состав ВТК'!L101&lt;=Выплаты!$G$8),ROUND(('Расчет участников НИР'!$H108*'счеталка премий'!O98),2),0),IF(AND('Состав ВТК'!Q101&gt;=Выплаты!$G$8,'Состав ВТК'!P101&lt;=Выплаты!$G$8),ROUND(('Расчет участников НИР'!$H108*'счеталка премий'!O98),2),0)),2),0)</f>
        <v>0</v>
      </c>
      <c r="I106" s="310">
        <f>IFERROR(ROUND(IF(H106=0,ROUND(('Расчет участников НИР'!$H108*'счеталка премий'!O98),2)-H106,0),2),0)</f>
        <v>0</v>
      </c>
      <c r="J106" s="310">
        <f t="shared" si="20"/>
        <v>0</v>
      </c>
      <c r="K106" s="306"/>
      <c r="L106" s="310" t="str">
        <f t="shared" si="21"/>
        <v>0,00</v>
      </c>
      <c r="M106" s="310">
        <f>IFERROR(ROUND(IF('Состав ВТК'!P101="",IF(AND('Состав ВТК'!M101&gt;=Выплаты!$L$8,'Состав ВТК'!L101&lt;=Выплаты!$L$8),ROUND(IF('счеталка премий'!I98&lt;0,0,('Расчет участников НИР'!$H108*'счеталка премий'!P98)),2),0),IF(AND('Состав ВТК'!Q101&gt;=Выплаты!$L$8,'Состав ВТК'!P101&lt;=Выплаты!$L$8),ROUND(IF('счеталка премий'!I98&lt;0,0,('Расчет участников НИР'!$H108*'счеталка премий'!P98)),2),0)),2),0)</f>
        <v>0</v>
      </c>
      <c r="N106" s="310">
        <f>IFERROR(ROUND(IF(M106=0,ROUND(('Расчет участников НИР'!$H108*'счеталка премий'!P98),2)-M106,0),2),0)</f>
        <v>0</v>
      </c>
      <c r="O106" s="310">
        <f t="shared" si="16"/>
        <v>0</v>
      </c>
      <c r="P106" s="306"/>
      <c r="Q106" s="310" t="str">
        <f t="shared" si="22"/>
        <v>0,00</v>
      </c>
      <c r="R106" s="310">
        <f>IFERROR(ROUND(IF('Состав ВТК'!P101="",IF(AND('Состав ВТК'!M101&gt;=Выплаты!$Q$8,'Состав ВТК'!L101&lt;=Выплаты!$Q$8),ROUND(IF('счеталка премий'!J98&lt;0,0,('Расчет участников НИР'!$H108*'счеталка премий'!Q98)),2),0),IF(AND('Состав ВТК'!Q101&gt;=Выплаты!$Q$8,'Состав ВТК'!P101&lt;=Выплаты!$Q$8),ROUND(IF('счеталка премий'!J98&lt;0,0,('Расчет участников НИР'!$H108*'счеталка премий'!Q98)),2),0)),2),0)</f>
        <v>0</v>
      </c>
      <c r="S106" s="310">
        <f>IFERROR(ROUND(IF(R106=0,ROUND(('Расчет участников НИР'!$H108*'счеталка премий'!Q98),2)-R106,0),2),0)</f>
        <v>0</v>
      </c>
      <c r="T106" s="310">
        <f t="shared" si="17"/>
        <v>0</v>
      </c>
      <c r="U106" s="306"/>
      <c r="V106" s="310">
        <f t="shared" si="23"/>
        <v>0</v>
      </c>
      <c r="W106" s="310" t="str">
        <f t="shared" si="24"/>
        <v>0,00</v>
      </c>
      <c r="X106" s="310">
        <f>IFERROR(ROUND(IF('Состав ВТК'!P101="",IF('Состав ВТК'!M101&gt;=Выплаты!$V$8,ROUND(IF('счеталка премий'!K98&lt;0,0,'Расчет участников НИР'!$H108*'счеталка премий'!R98),2),0),IF('Состав ВТК'!Q101&gt;=Выплаты!$V$8,ROUND(IF('счеталка премий'!K98&lt;0,0,'Расчет участников НИР'!$H108*'счеталка премий'!R98),2),0)),2),0)</f>
        <v>0</v>
      </c>
      <c r="Y106" s="310">
        <f>IFERROR(ROUND(IF(OR(IF('Состав ВТК'!L101="",AND('Состав ВТК'!Q101&lt;=Выплаты!$V$8,'Состав ВТК'!P101&lt;Выплаты!$V$8),AND('Состав ВТК'!M101&lt;=Выплаты!$V$8,'Состав ВТК'!$K101=справочник!$A$5)),W106=0),0,$Y$12/(Распределение!$N$11-SUMIF($W$14:$W$114,0,Распределение!$N$13:$N$125))*Распределение!N105),2),"0,00")</f>
        <v>0</v>
      </c>
      <c r="Z106" s="310">
        <f>IFERROR(ROUND(IF(X106=0,ROUND(('Расчет участников НИР'!$H108*'счеталка премий'!R98),2)-X106,0),2),0)</f>
        <v>0</v>
      </c>
      <c r="AA106" s="306"/>
      <c r="AB106" s="309">
        <f t="shared" si="25"/>
        <v>0</v>
      </c>
      <c r="AC106" s="309">
        <f t="shared" si="18"/>
        <v>0</v>
      </c>
      <c r="AE106" s="308"/>
    </row>
    <row r="107" spans="1:31" hidden="1" x14ac:dyDescent="0.25">
      <c r="A107" s="247">
        <v>94</v>
      </c>
      <c r="B107" s="602">
        <f>'Состав ВТК'!$B102</f>
        <v>0</v>
      </c>
      <c r="C107" s="310" t="str">
        <f>IFERROR(VLOOKUP($B107,'Состав ВТК'!$B$9:$I$108,7,FALSE),"-")</f>
        <v>-</v>
      </c>
      <c r="D107" s="310" t="str">
        <f>IFERROR(VLOOKUP($B107,'Состав ВТК'!$B$9:$I$108,8,FALSE),"-")</f>
        <v>-</v>
      </c>
      <c r="E107" s="310">
        <f>ROUND(IF($B107='Расчет участников НИР'!$A109,'Расчет участников НИР'!$M109),2)</f>
        <v>0</v>
      </c>
      <c r="F107" s="310">
        <f>ROUND('Расчет участников НИР'!$H109*50%-$E107,2)</f>
        <v>0</v>
      </c>
      <c r="G107" s="310" t="str">
        <f t="shared" si="19"/>
        <v>0,00</v>
      </c>
      <c r="H107" s="310">
        <f>IFERROR(ROUND(IF('Состав ВТК'!P102="",IF(AND('Состав ВТК'!M102&gt;=Выплаты!$G$8,'Состав ВТК'!L102&lt;=Выплаты!$G$8),ROUND(('Расчет участников НИР'!$H109*'счеталка премий'!O99),2),0),IF(AND('Состав ВТК'!Q102&gt;=Выплаты!$G$8,'Состав ВТК'!P102&lt;=Выплаты!$G$8),ROUND(('Расчет участников НИР'!$H109*'счеталка премий'!O99),2),0)),2),0)</f>
        <v>0</v>
      </c>
      <c r="I107" s="310">
        <f>IFERROR(ROUND(IF(H107=0,ROUND(('Расчет участников НИР'!$H109*'счеталка премий'!O99),2)-H107,0),2),0)</f>
        <v>0</v>
      </c>
      <c r="J107" s="310">
        <f t="shared" si="20"/>
        <v>0</v>
      </c>
      <c r="K107" s="306"/>
      <c r="L107" s="310" t="str">
        <f t="shared" si="21"/>
        <v>0,00</v>
      </c>
      <c r="M107" s="310">
        <f>IFERROR(ROUND(IF('Состав ВТК'!P102="",IF(AND('Состав ВТК'!M102&gt;=Выплаты!$L$8,'Состав ВТК'!L102&lt;=Выплаты!$L$8),ROUND(IF('счеталка премий'!I99&lt;0,0,('Расчет участников НИР'!$H109*'счеталка премий'!P99)),2),0),IF(AND('Состав ВТК'!Q102&gt;=Выплаты!$L$8,'Состав ВТК'!P102&lt;=Выплаты!$L$8),ROUND(IF('счеталка премий'!I99&lt;0,0,('Расчет участников НИР'!$H109*'счеталка премий'!P99)),2),0)),2),0)</f>
        <v>0</v>
      </c>
      <c r="N107" s="310">
        <f>IFERROR(ROUND(IF(M107=0,ROUND(('Расчет участников НИР'!$H109*'счеталка премий'!P99),2)-M107,0),2),0)</f>
        <v>0</v>
      </c>
      <c r="O107" s="310">
        <f t="shared" si="16"/>
        <v>0</v>
      </c>
      <c r="P107" s="306"/>
      <c r="Q107" s="310" t="str">
        <f t="shared" si="22"/>
        <v>0,00</v>
      </c>
      <c r="R107" s="310">
        <f>IFERROR(ROUND(IF('Состав ВТК'!P102="",IF(AND('Состав ВТК'!M102&gt;=Выплаты!$Q$8,'Состав ВТК'!L102&lt;=Выплаты!$Q$8),ROUND(IF('счеталка премий'!J99&lt;0,0,('Расчет участников НИР'!$H109*'счеталка премий'!Q99)),2),0),IF(AND('Состав ВТК'!Q102&gt;=Выплаты!$Q$8,'Состав ВТК'!P102&lt;=Выплаты!$Q$8),ROUND(IF('счеталка премий'!J99&lt;0,0,('Расчет участников НИР'!$H109*'счеталка премий'!Q99)),2),0)),2),0)</f>
        <v>0</v>
      </c>
      <c r="S107" s="310">
        <f>IFERROR(ROUND(IF(R107=0,ROUND(('Расчет участников НИР'!$H109*'счеталка премий'!Q99),2)-R107,0),2),0)</f>
        <v>0</v>
      </c>
      <c r="T107" s="310">
        <f t="shared" si="17"/>
        <v>0</v>
      </c>
      <c r="U107" s="306"/>
      <c r="V107" s="310">
        <f t="shared" si="23"/>
        <v>0</v>
      </c>
      <c r="W107" s="310" t="str">
        <f t="shared" si="24"/>
        <v>0,00</v>
      </c>
      <c r="X107" s="310">
        <f>IFERROR(ROUND(IF('Состав ВТК'!P102="",IF('Состав ВТК'!M102&gt;=Выплаты!$V$8,ROUND(IF('счеталка премий'!K99&lt;0,0,'Расчет участников НИР'!$H109*'счеталка премий'!R99),2),0),IF('Состав ВТК'!Q102&gt;=Выплаты!$V$8,ROUND(IF('счеталка премий'!K99&lt;0,0,'Расчет участников НИР'!$H109*'счеталка премий'!R99),2),0)),2),0)</f>
        <v>0</v>
      </c>
      <c r="Y107" s="310">
        <f>IFERROR(ROUND(IF(OR(IF('Состав ВТК'!L102="",AND('Состав ВТК'!Q102&lt;=Выплаты!$V$8,'Состав ВТК'!P102&lt;Выплаты!$V$8),AND('Состав ВТК'!M102&lt;=Выплаты!$V$8,'Состав ВТК'!$K102=справочник!$A$5)),W107=0),0,$Y$12/(Распределение!$N$11-SUMIF($W$14:$W$114,0,Распределение!$N$13:$N$125))*Распределение!N106),2),"0,00")</f>
        <v>0</v>
      </c>
      <c r="Z107" s="310">
        <f>IFERROR(ROUND(IF(X107=0,ROUND(('Расчет участников НИР'!$H109*'счеталка премий'!R99),2)-X107,0),2),0)</f>
        <v>0</v>
      </c>
      <c r="AA107" s="306"/>
      <c r="AB107" s="309">
        <f t="shared" si="25"/>
        <v>0</v>
      </c>
      <c r="AC107" s="309">
        <f t="shared" si="18"/>
        <v>0</v>
      </c>
      <c r="AE107" s="308"/>
    </row>
    <row r="108" spans="1:31" hidden="1" x14ac:dyDescent="0.25">
      <c r="A108" s="247">
        <v>95</v>
      </c>
      <c r="B108" s="602">
        <f>'Состав ВТК'!$B103</f>
        <v>0</v>
      </c>
      <c r="C108" s="310" t="str">
        <f>IFERROR(VLOOKUP($B108,'Состав ВТК'!$B$9:$I$108,7,FALSE),"-")</f>
        <v>-</v>
      </c>
      <c r="D108" s="310" t="str">
        <f>IFERROR(VLOOKUP($B108,'Состав ВТК'!$B$9:$I$108,8,FALSE),"-")</f>
        <v>-</v>
      </c>
      <c r="E108" s="310">
        <f>ROUND(IF($B108='Расчет участников НИР'!$A110,'Расчет участников НИР'!$M110),2)</f>
        <v>0</v>
      </c>
      <c r="F108" s="310">
        <f>ROUND('Расчет участников НИР'!$H110*50%-$E108,2)</f>
        <v>0</v>
      </c>
      <c r="G108" s="310" t="str">
        <f t="shared" si="19"/>
        <v>0,00</v>
      </c>
      <c r="H108" s="310">
        <f>IFERROR(ROUND(IF('Состав ВТК'!P103="",IF(AND('Состав ВТК'!M103&gt;=Выплаты!$G$8,'Состав ВТК'!L103&lt;=Выплаты!$G$8),ROUND(('Расчет участников НИР'!$H110*'счеталка премий'!O100),2),0),IF(AND('Состав ВТК'!Q103&gt;=Выплаты!$G$8,'Состав ВТК'!P103&lt;=Выплаты!$G$8),ROUND(('Расчет участников НИР'!$H110*'счеталка премий'!O100),2),0)),2),0)</f>
        <v>0</v>
      </c>
      <c r="I108" s="310">
        <f>IFERROR(ROUND(IF(H108=0,ROUND(('Расчет участников НИР'!$H110*'счеталка премий'!O100),2)-H108,0),2),0)</f>
        <v>0</v>
      </c>
      <c r="J108" s="310">
        <f t="shared" si="20"/>
        <v>0</v>
      </c>
      <c r="K108" s="306"/>
      <c r="L108" s="310" t="str">
        <f t="shared" si="21"/>
        <v>0,00</v>
      </c>
      <c r="M108" s="310">
        <f>IFERROR(ROUND(IF('Состав ВТК'!P103="",IF(AND('Состав ВТК'!M103&gt;=Выплаты!$L$8,'Состав ВТК'!L103&lt;=Выплаты!$L$8),ROUND(IF('счеталка премий'!I100&lt;0,0,('Расчет участников НИР'!$H110*'счеталка премий'!P100)),2),0),IF(AND('Состав ВТК'!Q103&gt;=Выплаты!$L$8,'Состав ВТК'!P103&lt;=Выплаты!$L$8),ROUND(IF('счеталка премий'!I100&lt;0,0,('Расчет участников НИР'!$H110*'счеталка премий'!P100)),2),0)),2),0)</f>
        <v>0</v>
      </c>
      <c r="N108" s="310">
        <f>IFERROR(ROUND(IF(M108=0,ROUND(('Расчет участников НИР'!$H110*'счеталка премий'!P100),2)-M108,0),2),0)</f>
        <v>0</v>
      </c>
      <c r="O108" s="310">
        <f t="shared" si="16"/>
        <v>0</v>
      </c>
      <c r="P108" s="306"/>
      <c r="Q108" s="310" t="str">
        <f t="shared" si="22"/>
        <v>0,00</v>
      </c>
      <c r="R108" s="310">
        <f>IFERROR(ROUND(IF('Состав ВТК'!P103="",IF(AND('Состав ВТК'!M103&gt;=Выплаты!$Q$8,'Состав ВТК'!L103&lt;=Выплаты!$Q$8),ROUND(IF('счеталка премий'!J100&lt;0,0,('Расчет участников НИР'!$H110*'счеталка премий'!Q100)),2),0),IF(AND('Состав ВТК'!Q103&gt;=Выплаты!$Q$8,'Состав ВТК'!P103&lt;=Выплаты!$Q$8),ROUND(IF('счеталка премий'!J100&lt;0,0,('Расчет участников НИР'!$H110*'счеталка премий'!Q100)),2),0)),2),0)</f>
        <v>0</v>
      </c>
      <c r="S108" s="310">
        <f>IFERROR(ROUND(IF(R108=0,ROUND(('Расчет участников НИР'!$H110*'счеталка премий'!Q100),2)-R108,0),2),0)</f>
        <v>0</v>
      </c>
      <c r="T108" s="310">
        <f t="shared" si="17"/>
        <v>0</v>
      </c>
      <c r="U108" s="306"/>
      <c r="V108" s="310">
        <f t="shared" si="23"/>
        <v>0</v>
      </c>
      <c r="W108" s="310" t="str">
        <f t="shared" si="24"/>
        <v>0,00</v>
      </c>
      <c r="X108" s="310">
        <f>IFERROR(ROUND(IF('Состав ВТК'!P103="",IF('Состав ВТК'!M103&gt;=Выплаты!$V$8,ROUND(IF('счеталка премий'!K100&lt;0,0,'Расчет участников НИР'!$H110*'счеталка премий'!R100),2),0),IF('Состав ВТК'!Q103&gt;=Выплаты!$V$8,ROUND(IF('счеталка премий'!K100&lt;0,0,'Расчет участников НИР'!$H110*'счеталка премий'!R100),2),0)),2),0)</f>
        <v>0</v>
      </c>
      <c r="Y108" s="310">
        <f>IFERROR(ROUND(IF(OR(IF('Состав ВТК'!L103="",AND('Состав ВТК'!Q103&lt;=Выплаты!$V$8,'Состав ВТК'!P103&lt;Выплаты!$V$8),AND('Состав ВТК'!M103&lt;=Выплаты!$V$8,'Состав ВТК'!$K103=справочник!$A$5)),W108=0),0,$Y$12/(Распределение!$N$11-SUMIF($W$14:$W$114,0,Распределение!$N$13:$N$125))*Распределение!N107),2),"0,00")</f>
        <v>0</v>
      </c>
      <c r="Z108" s="310">
        <f>IFERROR(ROUND(IF(X108=0,ROUND(('Расчет участников НИР'!$H110*'счеталка премий'!R100),2)-X108,0),2),0)</f>
        <v>0</v>
      </c>
      <c r="AA108" s="306"/>
      <c r="AB108" s="309">
        <f t="shared" si="25"/>
        <v>0</v>
      </c>
      <c r="AC108" s="309">
        <f t="shared" si="18"/>
        <v>0</v>
      </c>
      <c r="AE108" s="308"/>
    </row>
    <row r="109" spans="1:31" hidden="1" x14ac:dyDescent="0.25">
      <c r="A109" s="247">
        <v>96</v>
      </c>
      <c r="B109" s="602">
        <f>'Состав ВТК'!$B104</f>
        <v>0</v>
      </c>
      <c r="C109" s="310" t="str">
        <f>IFERROR(VLOOKUP($B109,'Состав ВТК'!$B$9:$I$108,7,FALSE),"-")</f>
        <v>-</v>
      </c>
      <c r="D109" s="310" t="str">
        <f>IFERROR(VLOOKUP($B109,'Состав ВТК'!$B$9:$I$108,8,FALSE),"-")</f>
        <v>-</v>
      </c>
      <c r="E109" s="310">
        <f>ROUND(IF($B109='Расчет участников НИР'!$A111,'Расчет участников НИР'!$M111),2)</f>
        <v>0</v>
      </c>
      <c r="F109" s="310">
        <f>ROUND('Расчет участников НИР'!$H111*50%-$E109,2)</f>
        <v>0</v>
      </c>
      <c r="G109" s="310" t="str">
        <f t="shared" si="19"/>
        <v>0,00</v>
      </c>
      <c r="H109" s="310">
        <f>IFERROR(ROUND(IF('Состав ВТК'!P104="",IF(AND('Состав ВТК'!M104&gt;=Выплаты!$G$8,'Состав ВТК'!L104&lt;=Выплаты!$G$8),ROUND(('Расчет участников НИР'!$H111*'счеталка премий'!O101),2),0),IF(AND('Состав ВТК'!Q104&gt;=Выплаты!$G$8,'Состав ВТК'!P104&lt;=Выплаты!$G$8),ROUND(('Расчет участников НИР'!$H111*'счеталка премий'!O101),2),0)),2),0)</f>
        <v>0</v>
      </c>
      <c r="I109" s="310">
        <f>IFERROR(ROUND(IF(H109=0,ROUND(('Расчет участников НИР'!$H111*'счеталка премий'!O101),2)-H109,0),2),0)</f>
        <v>0</v>
      </c>
      <c r="J109" s="310">
        <f t="shared" si="20"/>
        <v>0</v>
      </c>
      <c r="K109" s="306"/>
      <c r="L109" s="310" t="str">
        <f t="shared" si="21"/>
        <v>0,00</v>
      </c>
      <c r="M109" s="310">
        <f>IFERROR(ROUND(IF('Состав ВТК'!P104="",IF(AND('Состав ВТК'!M104&gt;=Выплаты!$L$8,'Состав ВТК'!L104&lt;=Выплаты!$L$8),ROUND(IF('счеталка премий'!I101&lt;0,0,('Расчет участников НИР'!$H111*'счеталка премий'!P101)),2),0),IF(AND('Состав ВТК'!Q104&gt;=Выплаты!$L$8,'Состав ВТК'!P104&lt;=Выплаты!$L$8),ROUND(IF('счеталка премий'!I101&lt;0,0,('Расчет участников НИР'!$H111*'счеталка премий'!P101)),2),0)),2),0)</f>
        <v>0</v>
      </c>
      <c r="N109" s="310">
        <f>IFERROR(ROUND(IF(M109=0,ROUND(('Расчет участников НИР'!$H111*'счеталка премий'!P101),2)-M109,0),2),0)</f>
        <v>0</v>
      </c>
      <c r="O109" s="310">
        <f t="shared" si="16"/>
        <v>0</v>
      </c>
      <c r="P109" s="306"/>
      <c r="Q109" s="310" t="str">
        <f t="shared" si="22"/>
        <v>0,00</v>
      </c>
      <c r="R109" s="310">
        <f>IFERROR(ROUND(IF('Состав ВТК'!P104="",IF(AND('Состав ВТК'!M104&gt;=Выплаты!$Q$8,'Состав ВТК'!L104&lt;=Выплаты!$Q$8),ROUND(IF('счеталка премий'!J101&lt;0,0,('Расчет участников НИР'!$H111*'счеталка премий'!Q101)),2),0),IF(AND('Состав ВТК'!Q104&gt;=Выплаты!$Q$8,'Состав ВТК'!P104&lt;=Выплаты!$Q$8),ROUND(IF('счеталка премий'!J101&lt;0,0,('Расчет участников НИР'!$H111*'счеталка премий'!Q101)),2),0)),2),0)</f>
        <v>0</v>
      </c>
      <c r="S109" s="310">
        <f>IFERROR(ROUND(IF(R109=0,ROUND(('Расчет участников НИР'!$H111*'счеталка премий'!Q101),2)-R109,0),2),0)</f>
        <v>0</v>
      </c>
      <c r="T109" s="310">
        <f t="shared" si="17"/>
        <v>0</v>
      </c>
      <c r="U109" s="306"/>
      <c r="V109" s="310">
        <f t="shared" si="23"/>
        <v>0</v>
      </c>
      <c r="W109" s="310" t="str">
        <f t="shared" si="24"/>
        <v>0,00</v>
      </c>
      <c r="X109" s="310">
        <f>IFERROR(ROUND(IF('Состав ВТК'!P104="",IF('Состав ВТК'!M104&gt;=Выплаты!$V$8,ROUND(IF('счеталка премий'!K101&lt;0,0,'Расчет участников НИР'!$H111*'счеталка премий'!R101),2),0),IF('Состав ВТК'!Q104&gt;=Выплаты!$V$8,ROUND(IF('счеталка премий'!K101&lt;0,0,'Расчет участников НИР'!$H111*'счеталка премий'!R101),2),0)),2),0)</f>
        <v>0</v>
      </c>
      <c r="Y109" s="310">
        <f>IFERROR(ROUND(IF(OR(IF('Состав ВТК'!L104="",AND('Состав ВТК'!Q104&lt;=Выплаты!$V$8,'Состав ВТК'!P104&lt;Выплаты!$V$8),AND('Состав ВТК'!M104&lt;=Выплаты!$V$8,'Состав ВТК'!$K104=справочник!$A$5)),W109=0),0,$Y$12/(Распределение!$N$11-SUMIF($W$14:$W$114,0,Распределение!$N$13:$N$125))*Распределение!N108),2),"0,00")</f>
        <v>0</v>
      </c>
      <c r="Z109" s="310">
        <f>IFERROR(ROUND(IF(X109=0,ROUND(('Расчет участников НИР'!$H111*'счеталка премий'!R101),2)-X109,0),2),0)</f>
        <v>0</v>
      </c>
      <c r="AA109" s="306"/>
      <c r="AB109" s="309">
        <f t="shared" si="25"/>
        <v>0</v>
      </c>
      <c r="AC109" s="309">
        <f t="shared" si="18"/>
        <v>0</v>
      </c>
      <c r="AE109" s="308"/>
    </row>
    <row r="110" spans="1:31" hidden="1" x14ac:dyDescent="0.25">
      <c r="A110" s="247">
        <v>97</v>
      </c>
      <c r="B110" s="602">
        <f>'Состав ВТК'!$B105</f>
        <v>0</v>
      </c>
      <c r="C110" s="310" t="str">
        <f>IFERROR(VLOOKUP($B110,'Состав ВТК'!$B$9:$I$108,7,FALSE),"-")</f>
        <v>-</v>
      </c>
      <c r="D110" s="310" t="str">
        <f>IFERROR(VLOOKUP($B110,'Состав ВТК'!$B$9:$I$108,8,FALSE),"-")</f>
        <v>-</v>
      </c>
      <c r="E110" s="310">
        <f>ROUND(IF($B110='Расчет участников НИР'!$A112,'Расчет участников НИР'!$M112),2)</f>
        <v>0</v>
      </c>
      <c r="F110" s="310">
        <f>ROUND('Расчет участников НИР'!$H112*50%-$E110,2)</f>
        <v>0</v>
      </c>
      <c r="G110" s="310" t="str">
        <f t="shared" si="19"/>
        <v>0,00</v>
      </c>
      <c r="H110" s="310">
        <f>IFERROR(ROUND(IF('Состав ВТК'!P105="",IF(AND('Состав ВТК'!M105&gt;=Выплаты!$G$8,'Состав ВТК'!L105&lt;=Выплаты!$G$8),ROUND(('Расчет участников НИР'!$H112*'счеталка премий'!O102),2),0),IF(AND('Состав ВТК'!Q105&gt;=Выплаты!$G$8,'Состав ВТК'!P105&lt;=Выплаты!$G$8),ROUND(('Расчет участников НИР'!$H112*'счеталка премий'!O102),2),0)),2),0)</f>
        <v>0</v>
      </c>
      <c r="I110" s="310">
        <f>IFERROR(ROUND(IF(H110=0,ROUND(('Расчет участников НИР'!$H112*'счеталка премий'!O102),2)-H110,0),2),0)</f>
        <v>0</v>
      </c>
      <c r="J110" s="310">
        <f t="shared" si="20"/>
        <v>0</v>
      </c>
      <c r="K110" s="306"/>
      <c r="L110" s="310" t="str">
        <f t="shared" si="21"/>
        <v>0,00</v>
      </c>
      <c r="M110" s="310">
        <f>IFERROR(ROUND(IF('Состав ВТК'!P105="",IF(AND('Состав ВТК'!M105&gt;=Выплаты!$L$8,'Состав ВТК'!L105&lt;=Выплаты!$L$8),ROUND(IF('счеталка премий'!I102&lt;0,0,('Расчет участников НИР'!$H112*'счеталка премий'!P102)),2),0),IF(AND('Состав ВТК'!Q105&gt;=Выплаты!$L$8,'Состав ВТК'!P105&lt;=Выплаты!$L$8),ROUND(IF('счеталка премий'!I102&lt;0,0,('Расчет участников НИР'!$H112*'счеталка премий'!P102)),2),0)),2),0)</f>
        <v>0</v>
      </c>
      <c r="N110" s="310">
        <f>IFERROR(ROUND(IF(M110=0,ROUND(('Расчет участников НИР'!$H112*'счеталка премий'!P102),2)-M110,0),2),0)</f>
        <v>0</v>
      </c>
      <c r="O110" s="310">
        <f t="shared" si="16"/>
        <v>0</v>
      </c>
      <c r="P110" s="306"/>
      <c r="Q110" s="310" t="str">
        <f t="shared" si="22"/>
        <v>0,00</v>
      </c>
      <c r="R110" s="310">
        <f>IFERROR(ROUND(IF('Состав ВТК'!P105="",IF(AND('Состав ВТК'!M105&gt;=Выплаты!$Q$8,'Состав ВТК'!L105&lt;=Выплаты!$Q$8),ROUND(IF('счеталка премий'!J102&lt;0,0,('Расчет участников НИР'!$H112*'счеталка премий'!Q102)),2),0),IF(AND('Состав ВТК'!Q105&gt;=Выплаты!$Q$8,'Состав ВТК'!P105&lt;=Выплаты!$Q$8),ROUND(IF('счеталка премий'!J102&lt;0,0,('Расчет участников НИР'!$H112*'счеталка премий'!Q102)),2),0)),2),0)</f>
        <v>0</v>
      </c>
      <c r="S110" s="310">
        <f>IFERROR(ROUND(IF(R110=0,ROUND(('Расчет участников НИР'!$H112*'счеталка премий'!Q102),2)-R110,0),2),0)</f>
        <v>0</v>
      </c>
      <c r="T110" s="310">
        <f t="shared" si="17"/>
        <v>0</v>
      </c>
      <c r="U110" s="306"/>
      <c r="V110" s="310">
        <f t="shared" si="23"/>
        <v>0</v>
      </c>
      <c r="W110" s="310" t="str">
        <f t="shared" si="24"/>
        <v>0,00</v>
      </c>
      <c r="X110" s="310">
        <f>IFERROR(ROUND(IF('Состав ВТК'!P105="",IF('Состав ВТК'!M105&gt;=Выплаты!$V$8,ROUND(IF('счеталка премий'!K102&lt;0,0,'Расчет участников НИР'!$H112*'счеталка премий'!R102),2),0),IF('Состав ВТК'!Q105&gt;=Выплаты!$V$8,ROUND(IF('счеталка премий'!K102&lt;0,0,'Расчет участников НИР'!$H112*'счеталка премий'!R102),2),0)),2),0)</f>
        <v>0</v>
      </c>
      <c r="Y110" s="310">
        <f>IFERROR(ROUND(IF(OR(IF('Состав ВТК'!L105="",AND('Состав ВТК'!Q105&lt;=Выплаты!$V$8,'Состав ВТК'!P105&lt;Выплаты!$V$8),AND('Состав ВТК'!M105&lt;=Выплаты!$V$8,'Состав ВТК'!$K105=справочник!$A$5)),W110=0),0,$Y$12/(Распределение!$N$11-SUMIF($W$14:$W$114,0,Распределение!$N$13:$N$125))*Распределение!N109),2),"0,00")</f>
        <v>0</v>
      </c>
      <c r="Z110" s="310">
        <f>IFERROR(ROUND(IF(X110=0,ROUND(('Расчет участников НИР'!$H112*'счеталка премий'!R102),2)-X110,0),2),0)</f>
        <v>0</v>
      </c>
      <c r="AA110" s="306"/>
      <c r="AB110" s="309">
        <f t="shared" si="25"/>
        <v>0</v>
      </c>
      <c r="AC110" s="309">
        <f t="shared" si="18"/>
        <v>0</v>
      </c>
      <c r="AE110" s="308"/>
    </row>
    <row r="111" spans="1:31" hidden="1" x14ac:dyDescent="0.25">
      <c r="A111" s="247">
        <v>98</v>
      </c>
      <c r="B111" s="602">
        <f>'Состав ВТК'!$B106</f>
        <v>0</v>
      </c>
      <c r="C111" s="310" t="str">
        <f>IFERROR(VLOOKUP($B111,'Состав ВТК'!$B$9:$I$108,7,FALSE),"-")</f>
        <v>-</v>
      </c>
      <c r="D111" s="310" t="str">
        <f>IFERROR(VLOOKUP($B111,'Состав ВТК'!$B$9:$I$108,8,FALSE),"-")</f>
        <v>-</v>
      </c>
      <c r="E111" s="310">
        <f>ROUND(IF($B111='Расчет участников НИР'!$A113,'Расчет участников НИР'!$M113),2)</f>
        <v>0</v>
      </c>
      <c r="F111" s="310">
        <f>ROUND('Расчет участников НИР'!$H113*50%-$E111,2)</f>
        <v>0</v>
      </c>
      <c r="G111" s="310" t="str">
        <f t="shared" si="19"/>
        <v>0,00</v>
      </c>
      <c r="H111" s="310">
        <f>IFERROR(ROUND(IF('Состав ВТК'!P106="",IF(AND('Состав ВТК'!M106&gt;=Выплаты!$G$8,'Состав ВТК'!L106&lt;=Выплаты!$G$8),ROUND(('Расчет участников НИР'!$H113*'счеталка премий'!O103),2),0),IF(AND('Состав ВТК'!Q106&gt;=Выплаты!$G$8,'Состав ВТК'!P106&lt;=Выплаты!$G$8),ROUND(('Расчет участников НИР'!$H113*'счеталка премий'!O103),2),0)),2),0)</f>
        <v>0</v>
      </c>
      <c r="I111" s="310">
        <f>IFERROR(ROUND(IF(H111=0,ROUND(('Расчет участников НИР'!$H113*'счеталка премий'!O103),2)-H111,0),2),0)</f>
        <v>0</v>
      </c>
      <c r="J111" s="310">
        <f t="shared" si="20"/>
        <v>0</v>
      </c>
      <c r="K111" s="306"/>
      <c r="L111" s="310" t="str">
        <f t="shared" si="21"/>
        <v>0,00</v>
      </c>
      <c r="M111" s="310">
        <f>IFERROR(ROUND(IF('Состав ВТК'!P106="",IF(AND('Состав ВТК'!M106&gt;=Выплаты!$L$8,'Состав ВТК'!L106&lt;=Выплаты!$L$8),ROUND(IF('счеталка премий'!I103&lt;0,0,('Расчет участников НИР'!$H113*'счеталка премий'!P103)),2),0),IF(AND('Состав ВТК'!Q106&gt;=Выплаты!$L$8,'Состав ВТК'!P106&lt;=Выплаты!$L$8),ROUND(IF('счеталка премий'!I103&lt;0,0,('Расчет участников НИР'!$H113*'счеталка премий'!P103)),2),0)),2),0)</f>
        <v>0</v>
      </c>
      <c r="N111" s="310">
        <f>IFERROR(ROUND(IF(M111=0,ROUND(('Расчет участников НИР'!$H113*'счеталка премий'!P103),2)-M111,0),2),0)</f>
        <v>0</v>
      </c>
      <c r="O111" s="310">
        <f t="shared" si="16"/>
        <v>0</v>
      </c>
      <c r="P111" s="306"/>
      <c r="Q111" s="310" t="str">
        <f t="shared" si="22"/>
        <v>0,00</v>
      </c>
      <c r="R111" s="310">
        <f>IFERROR(ROUND(IF('Состав ВТК'!P106="",IF(AND('Состав ВТК'!M106&gt;=Выплаты!$Q$8,'Состав ВТК'!L106&lt;=Выплаты!$Q$8),ROUND(IF('счеталка премий'!J103&lt;0,0,('Расчет участников НИР'!$H113*'счеталка премий'!Q103)),2),0),IF(AND('Состав ВТК'!Q106&gt;=Выплаты!$Q$8,'Состав ВТК'!P106&lt;=Выплаты!$Q$8),ROUND(IF('счеталка премий'!J103&lt;0,0,('Расчет участников НИР'!$H113*'счеталка премий'!Q103)),2),0)),2),0)</f>
        <v>0</v>
      </c>
      <c r="S111" s="310">
        <f>IFERROR(ROUND(IF(R111=0,ROUND(('Расчет участников НИР'!$H113*'счеталка премий'!Q103),2)-R111,0),2),0)</f>
        <v>0</v>
      </c>
      <c r="T111" s="310">
        <f t="shared" si="17"/>
        <v>0</v>
      </c>
      <c r="U111" s="306"/>
      <c r="V111" s="310">
        <f t="shared" si="23"/>
        <v>0</v>
      </c>
      <c r="W111" s="310" t="str">
        <f t="shared" si="24"/>
        <v>0,00</v>
      </c>
      <c r="X111" s="310">
        <f>IFERROR(ROUND(IF('Состав ВТК'!P106="",IF('Состав ВТК'!M106&gt;=Выплаты!$V$8,ROUND(IF('счеталка премий'!K103&lt;0,0,'Расчет участников НИР'!$H113*'счеталка премий'!R103),2),0),IF('Состав ВТК'!Q106&gt;=Выплаты!$V$8,ROUND(IF('счеталка премий'!K103&lt;0,0,'Расчет участников НИР'!$H113*'счеталка премий'!R103),2),0)),2),0)</f>
        <v>0</v>
      </c>
      <c r="Y111" s="310">
        <f>IFERROR(ROUND(IF(OR(IF('Состав ВТК'!L106="",AND('Состав ВТК'!Q106&lt;=Выплаты!$V$8,'Состав ВТК'!P106&lt;Выплаты!$V$8),AND('Состав ВТК'!M106&lt;=Выплаты!$V$8,'Состав ВТК'!$K106=справочник!$A$5)),W111=0),0,$Y$12/(Распределение!$N$11-SUMIF($W$14:$W$114,0,Распределение!$N$13:$N$125))*Распределение!N110),2),"0,00")</f>
        <v>0</v>
      </c>
      <c r="Z111" s="310">
        <f>IFERROR(ROUND(IF(X111=0,ROUND(('Расчет участников НИР'!$H113*'счеталка премий'!R103),2)-X111,0),2),0)</f>
        <v>0</v>
      </c>
      <c r="AA111" s="306"/>
      <c r="AB111" s="309">
        <f t="shared" si="25"/>
        <v>0</v>
      </c>
      <c r="AC111" s="309">
        <f t="shared" si="18"/>
        <v>0</v>
      </c>
      <c r="AE111" s="308"/>
    </row>
    <row r="112" spans="1:31" hidden="1" x14ac:dyDescent="0.25">
      <c r="A112" s="247">
        <v>99</v>
      </c>
      <c r="B112" s="602">
        <f>'Состав ВТК'!$B107</f>
        <v>0</v>
      </c>
      <c r="C112" s="310" t="str">
        <f>IFERROR(VLOOKUP($B112,'Состав ВТК'!$B$9:$I$108,7,FALSE),"-")</f>
        <v>-</v>
      </c>
      <c r="D112" s="310" t="str">
        <f>IFERROR(VLOOKUP($B112,'Состав ВТК'!$B$9:$I$108,8,FALSE),"-")</f>
        <v>-</v>
      </c>
      <c r="E112" s="310">
        <f>ROUND(IF($B112='Расчет участников НИР'!$A114,'Расчет участников НИР'!$M114),2)</f>
        <v>0</v>
      </c>
      <c r="F112" s="310">
        <f>ROUND('Расчет участников НИР'!$H114*50%-$E112,2)</f>
        <v>0</v>
      </c>
      <c r="G112" s="310" t="str">
        <f t="shared" si="19"/>
        <v>0,00</v>
      </c>
      <c r="H112" s="310">
        <f>IFERROR(ROUND(IF('Состав ВТК'!P107="",IF(AND('Состав ВТК'!M107&gt;=Выплаты!$G$8,'Состав ВТК'!L107&lt;=Выплаты!$G$8),ROUND(('Расчет участников НИР'!$H114*'счеталка премий'!O104),2),0),IF(AND('Состав ВТК'!Q107&gt;=Выплаты!$G$8,'Состав ВТК'!P107&lt;=Выплаты!$G$8),ROUND(('Расчет участников НИР'!$H114*'счеталка премий'!O104),2),0)),2),0)</f>
        <v>0</v>
      </c>
      <c r="I112" s="310">
        <f>IFERROR(ROUND(IF(H112=0,ROUND(('Расчет участников НИР'!$H114*'счеталка премий'!O104),2)-H112,0),2),0)</f>
        <v>0</v>
      </c>
      <c r="J112" s="310">
        <f t="shared" si="20"/>
        <v>0</v>
      </c>
      <c r="K112" s="306"/>
      <c r="L112" s="310" t="str">
        <f t="shared" si="21"/>
        <v>0,00</v>
      </c>
      <c r="M112" s="310">
        <f>IFERROR(ROUND(IF('Состав ВТК'!P107="",IF(AND('Состав ВТК'!M107&gt;=Выплаты!$L$8,'Состав ВТК'!L107&lt;=Выплаты!$L$8),ROUND(IF('счеталка премий'!I104&lt;0,0,('Расчет участников НИР'!$H114*'счеталка премий'!P104)),2),0),IF(AND('Состав ВТК'!Q107&gt;=Выплаты!$L$8,'Состав ВТК'!P107&lt;=Выплаты!$L$8),ROUND(IF('счеталка премий'!I104&lt;0,0,('Расчет участников НИР'!$H114*'счеталка премий'!P104)),2),0)),2),0)</f>
        <v>0</v>
      </c>
      <c r="N112" s="310">
        <f>IFERROR(ROUND(IF(M112=0,ROUND(('Расчет участников НИР'!$H114*'счеталка премий'!P104),2)-M112,0),2),0)</f>
        <v>0</v>
      </c>
      <c r="O112" s="310">
        <f t="shared" si="16"/>
        <v>0</v>
      </c>
      <c r="P112" s="306"/>
      <c r="Q112" s="310" t="str">
        <f t="shared" si="22"/>
        <v>0,00</v>
      </c>
      <c r="R112" s="310">
        <f>IFERROR(ROUND(IF('Состав ВТК'!P107="",IF(AND('Состав ВТК'!M107&gt;=Выплаты!$Q$8,'Состав ВТК'!L107&lt;=Выплаты!$Q$8),ROUND(IF('счеталка премий'!J104&lt;0,0,('Расчет участников НИР'!$H114*'счеталка премий'!Q104)),2),0),IF(AND('Состав ВТК'!Q107&gt;=Выплаты!$Q$8,'Состав ВТК'!P107&lt;=Выплаты!$Q$8),ROUND(IF('счеталка премий'!J104&lt;0,0,('Расчет участников НИР'!$H114*'счеталка премий'!Q104)),2),0)),2),0)</f>
        <v>0</v>
      </c>
      <c r="S112" s="310">
        <f>IFERROR(ROUND(IF(R112=0,ROUND(('Расчет участников НИР'!$H114*'счеталка премий'!Q104),2)-R112,0),2),0)</f>
        <v>0</v>
      </c>
      <c r="T112" s="310">
        <f t="shared" si="17"/>
        <v>0</v>
      </c>
      <c r="U112" s="306"/>
      <c r="V112" s="310">
        <f t="shared" si="23"/>
        <v>0</v>
      </c>
      <c r="W112" s="310" t="str">
        <f t="shared" si="24"/>
        <v>0,00</v>
      </c>
      <c r="X112" s="310">
        <f>IFERROR(ROUND(IF('Состав ВТК'!P107="",IF('Состав ВТК'!M107&gt;=Выплаты!$V$8,ROUND(IF('счеталка премий'!K104&lt;0,0,'Расчет участников НИР'!$H114*'счеталка премий'!R104),2),0),IF('Состав ВТК'!Q107&gt;=Выплаты!$V$8,ROUND(IF('счеталка премий'!K104&lt;0,0,'Расчет участников НИР'!$H114*'счеталка премий'!R104),2),0)),2),0)</f>
        <v>0</v>
      </c>
      <c r="Y112" s="310">
        <f>IFERROR(ROUND(IF(OR(IF('Состав ВТК'!L107="",AND('Состав ВТК'!Q107&lt;=Выплаты!$V$8,'Состав ВТК'!P107&lt;Выплаты!$V$8),AND('Состав ВТК'!M107&lt;=Выплаты!$V$8,'Состав ВТК'!$K107=справочник!$A$5)),W112=0),0,$Y$12/(Распределение!$N$11-SUMIF($W$14:$W$114,0,Распределение!$N$13:$N$125))*Распределение!N111),2),"0,00")</f>
        <v>0</v>
      </c>
      <c r="Z112" s="310">
        <f>IFERROR(ROUND(IF(X112=0,ROUND(('Расчет участников НИР'!$H114*'счеталка премий'!R104),2)-X112,0),2),0)</f>
        <v>0</v>
      </c>
      <c r="AA112" s="306"/>
      <c r="AB112" s="309">
        <f t="shared" si="25"/>
        <v>0</v>
      </c>
      <c r="AC112" s="309">
        <f t="shared" si="18"/>
        <v>0</v>
      </c>
      <c r="AE112" s="308"/>
    </row>
    <row r="113" spans="1:31" hidden="1" x14ac:dyDescent="0.25">
      <c r="A113" s="247">
        <v>100</v>
      </c>
      <c r="B113" s="602">
        <f>'Состав ВТК'!$B108</f>
        <v>0</v>
      </c>
      <c r="C113" s="310" t="str">
        <f>IFERROR(VLOOKUP($B113,'Состав ВТК'!$B$9:$I$108,7,FALSE),"-")</f>
        <v>-</v>
      </c>
      <c r="D113" s="310" t="str">
        <f>IFERROR(VLOOKUP($B113,'Состав ВТК'!$B$9:$I$108,8,FALSE),"-")</f>
        <v>-</v>
      </c>
      <c r="E113" s="310">
        <f>ROUND(IF($B113='Расчет участников НИР'!$A115,'Расчет участников НИР'!$M115),2)</f>
        <v>0</v>
      </c>
      <c r="F113" s="310">
        <f>ROUND('Расчет участников НИР'!$H115*50%-$E113,2)</f>
        <v>0</v>
      </c>
      <c r="G113" s="310" t="str">
        <f t="shared" si="19"/>
        <v>0,00</v>
      </c>
      <c r="H113" s="310">
        <f>IFERROR(ROUND(IF('Состав ВТК'!P108="",IF(AND('Состав ВТК'!M108&gt;=Выплаты!$G$8,'Состав ВТК'!L108&lt;=Выплаты!$G$8),ROUND(('Расчет участников НИР'!$H115*'счеталка премий'!O105),2),0),IF(AND('Состав ВТК'!Q108&gt;=Выплаты!$G$8,'Состав ВТК'!P108&lt;=Выплаты!$G$8),ROUND(('Расчет участников НИР'!$H115*'счеталка премий'!O105),2),0)),2),0)</f>
        <v>0</v>
      </c>
      <c r="I113" s="310">
        <f>IFERROR(ROUND(IF(H113=0,ROUND(('Расчет участников НИР'!$H115*'счеталка премий'!O105),2)-H113,0),2),0)</f>
        <v>0</v>
      </c>
      <c r="J113" s="310">
        <f t="shared" si="20"/>
        <v>0</v>
      </c>
      <c r="K113" s="306"/>
      <c r="L113" s="310" t="str">
        <f t="shared" si="21"/>
        <v>0,00</v>
      </c>
      <c r="M113" s="310">
        <f>IFERROR(ROUND(IF('Состав ВТК'!P108="",IF(AND('Состав ВТК'!M108&gt;=Выплаты!$L$8,'Состав ВТК'!L108&lt;=Выплаты!$L$8),ROUND(IF('счеталка премий'!I105&lt;0,0,('Расчет участников НИР'!$H115*'счеталка премий'!P105)),2),0),IF(AND('Состав ВТК'!Q108&gt;=Выплаты!$L$8,'Состав ВТК'!P108&lt;=Выплаты!$L$8),ROUND(IF('счеталка премий'!I105&lt;0,0,('Расчет участников НИР'!$H115*'счеталка премий'!P105)),2),0)),2),0)</f>
        <v>0</v>
      </c>
      <c r="N113" s="310">
        <f>IFERROR(ROUND(IF(M113=0,ROUND(('Расчет участников НИР'!$H115*'счеталка премий'!P105),2)-M113,0),2),0)</f>
        <v>0</v>
      </c>
      <c r="O113" s="310">
        <f t="shared" si="16"/>
        <v>0</v>
      </c>
      <c r="P113" s="306"/>
      <c r="Q113" s="310" t="str">
        <f t="shared" si="22"/>
        <v>0,00</v>
      </c>
      <c r="R113" s="310">
        <f>IFERROR(ROUND(IF('Состав ВТК'!P108="",IF(AND('Состав ВТК'!M108&gt;=Выплаты!$Q$8,'Состав ВТК'!L108&lt;=Выплаты!$Q$8),ROUND(IF('счеталка премий'!J105&lt;0,0,('Расчет участников НИР'!$H115*'счеталка премий'!Q105)),2),0),IF(AND('Состав ВТК'!Q108&gt;=Выплаты!$Q$8,'Состав ВТК'!P108&lt;=Выплаты!$Q$8),ROUND(IF('счеталка премий'!J105&lt;0,0,('Расчет участников НИР'!$H115*'счеталка премий'!Q105)),2),0)),2),0)</f>
        <v>0</v>
      </c>
      <c r="S113" s="310">
        <f>IFERROR(ROUND(IF(R113=0,ROUND(('Расчет участников НИР'!$H115*'счеталка премий'!Q105),2)-R113,0),2),0)</f>
        <v>0</v>
      </c>
      <c r="T113" s="310">
        <f t="shared" si="17"/>
        <v>0</v>
      </c>
      <c r="U113" s="306"/>
      <c r="V113" s="310">
        <f t="shared" si="23"/>
        <v>0</v>
      </c>
      <c r="W113" s="310" t="str">
        <f t="shared" si="24"/>
        <v>0,00</v>
      </c>
      <c r="X113" s="310">
        <f>IFERROR(ROUND(IF('Состав ВТК'!P108="",IF('Состав ВТК'!M108&gt;=Выплаты!$V$8,ROUND(IF('счеталка премий'!K105&lt;0,0,'Расчет участников НИР'!$H115*'счеталка премий'!R105),2),0),IF('Состав ВТК'!Q108&gt;=Выплаты!$V$8,ROUND(IF('счеталка премий'!K105&lt;0,0,'Расчет участников НИР'!$H115*'счеталка премий'!R105),2),0)),2),0)</f>
        <v>0</v>
      </c>
      <c r="Y113" s="310">
        <f>IFERROR(ROUND(IF(OR(IF('Состав ВТК'!L108="",AND('Состав ВТК'!Q108&lt;=Выплаты!$V$8,'Состав ВТК'!P108&lt;Выплаты!$V$8),AND('Состав ВТК'!M108&lt;=Выплаты!$V$8,'Состав ВТК'!$K108=справочник!$A$5)),W113=0),0,$Y$12/(Распределение!$N$11-SUMIF($W$14:$W$114,0,Распределение!$N$13:$N$125))*Распределение!N112),2),"0,00")</f>
        <v>0</v>
      </c>
      <c r="Z113" s="310">
        <f>IFERROR(ROUND(IF(X113=0,ROUND(('Расчет участников НИР'!$H115*'счеталка премий'!R105),2)-X113,0),2),0)</f>
        <v>0</v>
      </c>
      <c r="AA113" s="306"/>
      <c r="AB113" s="309">
        <f t="shared" si="25"/>
        <v>0</v>
      </c>
      <c r="AC113" s="309">
        <f t="shared" si="18"/>
        <v>0</v>
      </c>
      <c r="AE113" s="308"/>
    </row>
    <row r="114" spans="1:31" x14ac:dyDescent="0.25">
      <c r="U114" s="307"/>
    </row>
    <row r="117" spans="1:31" ht="20.25" x14ac:dyDescent="0.3">
      <c r="E117" s="501" t="s">
        <v>274</v>
      </c>
      <c r="F117" s="229"/>
      <c r="G117" s="229"/>
      <c r="H117" s="842" t="str">
        <f>IFERROR(INDEX('Состав ВТК'!$1:$1048576,MATCH($E$117,'Состав ВТК'!J:J,0),MATCH($H$118,'Состав ВТК'!7:7,0)),"---")</f>
        <v>---</v>
      </c>
      <c r="I117" s="842"/>
      <c r="J117" s="842"/>
      <c r="K117" s="842"/>
      <c r="L117" s="842"/>
    </row>
    <row r="118" spans="1:31" ht="18.75" x14ac:dyDescent="0.3">
      <c r="E118" s="502"/>
      <c r="F118" s="229"/>
      <c r="G118" s="229"/>
      <c r="H118" s="843" t="s">
        <v>2</v>
      </c>
      <c r="I118" s="843"/>
      <c r="J118" s="843"/>
      <c r="K118" s="843"/>
      <c r="L118" s="843"/>
    </row>
    <row r="119" spans="1:31" ht="18.75" x14ac:dyDescent="0.3">
      <c r="E119" s="502"/>
      <c r="F119" s="229"/>
      <c r="G119" s="229"/>
      <c r="H119" s="491"/>
      <c r="I119" s="491"/>
      <c r="J119" s="491"/>
    </row>
    <row r="120" spans="1:31" ht="20.25" x14ac:dyDescent="0.3">
      <c r="E120" s="501" t="s">
        <v>191</v>
      </c>
      <c r="F120" s="229"/>
      <c r="G120" s="229"/>
      <c r="H120" s="842" t="str">
        <f>Титул!$B$10</f>
        <v>-</v>
      </c>
      <c r="I120" s="842"/>
      <c r="J120" s="842"/>
      <c r="K120" s="842"/>
      <c r="L120" s="842"/>
    </row>
    <row r="121" spans="1:31" x14ac:dyDescent="0.25">
      <c r="E121" s="491"/>
      <c r="F121" s="491"/>
      <c r="G121" s="491"/>
      <c r="H121" s="843" t="s">
        <v>2</v>
      </c>
      <c r="I121" s="843"/>
      <c r="J121" s="843"/>
      <c r="K121" s="843"/>
      <c r="L121" s="843"/>
    </row>
  </sheetData>
  <sheetProtection algorithmName="SHA-512" hashValue="4zC0c2/1CQcPmfPQaQ/2y+7qR9ttos64L8ypkLYpiCcS5kSNgoNxSn7NPDxml8Gpytb0Z7jxxXd1VMcVyVNU+g==" saltValue="1Gn/ojn7on5lWAOdTfZBiw==" spinCount="100000" sheet="1" formatCells="0" formatColumns="0" formatRows="0" insertColumns="0" insertRows="0" insertHyperlinks="0" deleteColumns="0" deleteRows="0" sort="0" autoFilter="0" pivotTables="0"/>
  <mergeCells count="28">
    <mergeCell ref="H117:L117"/>
    <mergeCell ref="H118:L118"/>
    <mergeCell ref="H120:L120"/>
    <mergeCell ref="H121:L121"/>
    <mergeCell ref="B4:B5"/>
    <mergeCell ref="B6:B7"/>
    <mergeCell ref="B1:B3"/>
    <mergeCell ref="A13:F13"/>
    <mergeCell ref="AC9:AC11"/>
    <mergeCell ref="B9:B11"/>
    <mergeCell ref="A9:A11"/>
    <mergeCell ref="D9:D11"/>
    <mergeCell ref="A12:D12"/>
    <mergeCell ref="AB9:AB11"/>
    <mergeCell ref="F9:F11"/>
    <mergeCell ref="E9:E11"/>
    <mergeCell ref="C9:C11"/>
    <mergeCell ref="Z2:AC2"/>
    <mergeCell ref="AA9:AA11"/>
    <mergeCell ref="G10:K10"/>
    <mergeCell ref="L10:P10"/>
    <mergeCell ref="G9:U9"/>
    <mergeCell ref="V2:Y2"/>
    <mergeCell ref="L2:P2"/>
    <mergeCell ref="G2:K2"/>
    <mergeCell ref="V9:Z10"/>
    <mergeCell ref="Q2:U2"/>
    <mergeCell ref="Q10:U10"/>
  </mergeCells>
  <conditionalFormatting sqref="AA12:AA13">
    <cfRule type="cellIs" dxfId="176" priority="129" operator="lessThan">
      <formula>$V$12</formula>
    </cfRule>
    <cfRule type="cellIs" dxfId="175" priority="131" operator="greaterThan">
      <formula>$V$12</formula>
    </cfRule>
  </conditionalFormatting>
  <conditionalFormatting sqref="K12">
    <cfRule type="cellIs" dxfId="174" priority="112" operator="lessThan">
      <formula>$K$13</formula>
    </cfRule>
    <cfRule type="cellIs" dxfId="173" priority="115" operator="greaterThan">
      <formula>$K$13</formula>
    </cfRule>
  </conditionalFormatting>
  <conditionalFormatting sqref="P12">
    <cfRule type="cellIs" dxfId="172" priority="110" operator="lessThan">
      <formula>$P$13</formula>
    </cfRule>
    <cfRule type="cellIs" dxfId="171" priority="114" operator="greaterThan">
      <formula>$P$13</formula>
    </cfRule>
  </conditionalFormatting>
  <conditionalFormatting sqref="U12">
    <cfRule type="cellIs" dxfId="170" priority="109" operator="lessThan">
      <formula>$U$13</formula>
    </cfRule>
    <cfRule type="cellIs" dxfId="169" priority="113" operator="greaterThan">
      <formula>$U$13</formula>
    </cfRule>
  </conditionalFormatting>
  <conditionalFormatting sqref="AB12:AC12">
    <cfRule type="cellIs" dxfId="168" priority="111" operator="greaterThan">
      <formula>$AB$12</formula>
    </cfRule>
  </conditionalFormatting>
  <conditionalFormatting sqref="C6:E6">
    <cfRule type="cellIs" dxfId="167" priority="754" operator="lessThan">
      <formula>$C$2</formula>
    </cfRule>
  </conditionalFormatting>
  <conditionalFormatting sqref="C7">
    <cfRule type="cellIs" dxfId="166" priority="69" operator="lessThan">
      <formula>$C$3</formula>
    </cfRule>
  </conditionalFormatting>
  <conditionalFormatting sqref="D7">
    <cfRule type="cellIs" dxfId="165" priority="68" operator="lessThan">
      <formula>$D$3</formula>
    </cfRule>
  </conditionalFormatting>
  <conditionalFormatting sqref="E7">
    <cfRule type="cellIs" dxfId="164" priority="67" operator="lessThan">
      <formula>$E$3</formula>
    </cfRule>
  </conditionalFormatting>
  <conditionalFormatting sqref="AA14:AA115">
    <cfRule type="expression" dxfId="163" priority="806">
      <formula>AA14&gt;(V14*3)</formula>
    </cfRule>
    <cfRule type="expression" dxfId="162" priority="807">
      <formula>IF($D14="НТР",SUMIF($D$14:$D$115,$D14,$AA$14:$AA$115)&lt;$V14)</formula>
    </cfRule>
    <cfRule type="expression" dxfId="161" priority="808">
      <formula>IF($D14="НПР",SUMIF($D$14:$D$115,$D14,$AA$14:$AA$115)&lt;$V14)</formula>
    </cfRule>
  </conditionalFormatting>
  <conditionalFormatting sqref="U31 U33:U113">
    <cfRule type="expression" dxfId="160" priority="796">
      <formula>U31&gt;($Q31*2)</formula>
    </cfRule>
    <cfRule type="expression" dxfId="159" priority="797">
      <formula>IF($D31="НПР",(SUMIF($D$14:$D$115,$D31,$U$14:$U$115)+SUMIF($D$14:$D$115,$D31,$T$14:$T$115))&lt;SUMIF($D$14:$D$115,"НПР",$Q$14:$Q$115))</formula>
    </cfRule>
    <cfRule type="expression" dxfId="158" priority="798">
      <formula>IF($D31="НТР",(SUMIF($D$14:$D$115,$D31,$U$14:$U$115)+SUMIF($D$14:$D$115,$D31,$T$14:$T$115))&lt;SUMIF($D$14:$D$115,"НТР",$Q$14:$Q$115))</formula>
    </cfRule>
  </conditionalFormatting>
  <conditionalFormatting sqref="P31 P33:P113">
    <cfRule type="expression" dxfId="157" priority="76">
      <formula>P31&gt;(L31*2)</formula>
    </cfRule>
    <cfRule type="expression" dxfId="156" priority="77">
      <formula>IF($D31="НПР",(SUMIF($D$14:$D$115,$D31,$P$14:$P$115)+SUMIF($D$14:$D$115,$D31,$O$14:$O$115))&lt;SUMIF($D$14:$D$115,"НПР",$L$14:$L$115))</formula>
    </cfRule>
    <cfRule type="expression" dxfId="155" priority="78">
      <formula>IF($D31="НТР",(SUMIF($D$14:$D$115,$D31,$P$14:$P$115)+SUMIF($D$14:$D$115,$D31,$O$14:$O$115))&lt;SUMIF($D$14:$D$115,"НТР",$L$14:$L$115))</formula>
    </cfRule>
  </conditionalFormatting>
  <conditionalFormatting sqref="P26:P30">
    <cfRule type="expression" dxfId="154" priority="52">
      <formula>P26&gt;(L26*2)</formula>
    </cfRule>
    <cfRule type="expression" dxfId="153" priority="53">
      <formula>IF($D26="НПР",(SUMIF($D$14:$D$115,$D26,$K$14:$K$115)+SUMIF($D$14:$D$115,$D26,$J$14:$J$115))&lt;SUMIF($D$14:$D$115,"НПР",$G$14:$G$115))</formula>
    </cfRule>
    <cfRule type="expression" dxfId="152" priority="54">
      <formula>IF($D26="НТР",(SUMIF($D$14:$D$115,$D26,$K$14:$K$115)+SUMIF($D$14:$D$115,$D26,$J$14:$J$115))&lt;SUMIF($D$14:$D$115,"НТР",$G$14:$G$115))</formula>
    </cfRule>
  </conditionalFormatting>
  <conditionalFormatting sqref="U26:U30">
    <cfRule type="expression" dxfId="151" priority="49">
      <formula>U26&gt;(Q26*2)</formula>
    </cfRule>
    <cfRule type="expression" dxfId="150" priority="50">
      <formula>IF($D26="НПР",(SUMIF($D$14:$D$115,$D26,$K$14:$K$115)+SUMIF($D$14:$D$115,$D26,$J$14:$J$115))&lt;SUMIF($D$14:$D$115,"НПР",$G$14:$G$115))</formula>
    </cfRule>
    <cfRule type="expression" dxfId="149" priority="51">
      <formula>IF($D26="НТР",(SUMIF($D$14:$D$115,$D26,$K$14:$K$115)+SUMIF($D$14:$D$115,$D26,$J$14:$J$115))&lt;SUMIF($D$14:$D$115,"НТР",$G$14:$G$115))</formula>
    </cfRule>
  </conditionalFormatting>
  <conditionalFormatting sqref="K20:K21">
    <cfRule type="expression" dxfId="148" priority="43">
      <formula>K20&gt;(G20*2)</formula>
    </cfRule>
    <cfRule type="expression" dxfId="147" priority="44">
      <formula>IF($D20="НПР",(SUMIF($D$14:$D$115,$D20,$K$14:$K$115)+SUMIF($D$14:$D$115,$D20,$J$14:$J$115))&lt;SUMIF($D$14:$D$115,"НПР",$G$14:$G$115))</formula>
    </cfRule>
    <cfRule type="expression" dxfId="146" priority="45">
      <formula>IF($D20="НТР",(SUMIF($D$14:$D$115,$D20,$K$14:$K$115)+SUMIF($D$14:$D$115,$D20,$J$14:$J$115))&lt;SUMIF($D$14:$D$115,"НТР",$G$14:$G$115))</formula>
    </cfRule>
  </conditionalFormatting>
  <conditionalFormatting sqref="P20:P21">
    <cfRule type="expression" dxfId="145" priority="19">
      <formula>P20&gt;(L20*2)</formula>
    </cfRule>
    <cfRule type="expression" dxfId="144" priority="20">
      <formula>IF($D20="НПР",(SUMIF($D$14:$D$115,$D20,$K$14:$K$115)+SUMIF($D$14:$D$115,$D20,$J$14:$J$115))&lt;SUMIF($D$14:$D$115,"НПР",$G$14:$G$115))</formula>
    </cfRule>
    <cfRule type="expression" dxfId="143" priority="21">
      <formula>IF($D20="НТР",(SUMIF($D$14:$D$115,$D20,$K$14:$K$115)+SUMIF($D$14:$D$115,$D20,$J$14:$J$115))&lt;SUMIF($D$14:$D$115,"НТР",$G$14:$G$115))</formula>
    </cfRule>
  </conditionalFormatting>
  <conditionalFormatting sqref="U20:U21">
    <cfRule type="expression" dxfId="142" priority="13">
      <formula>U20&gt;(Q20*2)</formula>
    </cfRule>
    <cfRule type="expression" dxfId="141" priority="14">
      <formula>IF($D20="НПР",(SUMIF($D$14:$D$115,$D20,$K$14:$K$115)+SUMIF($D$14:$D$115,$D20,$J$14:$J$115))&lt;SUMIF($D$14:$D$115,"НПР",$G$14:$G$115))</formula>
    </cfRule>
    <cfRule type="expression" dxfId="140" priority="15">
      <formula>IF($D20="НТР",(SUMIF($D$14:$D$115,$D20,$K$14:$K$115)+SUMIF($D$14:$D$115,$D20,$J$14:$J$115))&lt;SUMIF($D$14:$D$115,"НТР",$G$14:$G$115))</formula>
    </cfRule>
  </conditionalFormatting>
  <conditionalFormatting sqref="P22">
    <cfRule type="expression" dxfId="139" priority="10">
      <formula>P22&gt;(L22*2)</formula>
    </cfRule>
    <cfRule type="expression" dxfId="138" priority="11">
      <formula>IF($D22="НПР",(SUMIF($D$14:$D$115,$D22,$K$14:$K$115)+SUMIF($D$14:$D$115,$D22,$J$14:$J$115))&lt;SUMIF($D$14:$D$115,"НПР",$G$14:$G$115))</formula>
    </cfRule>
    <cfRule type="expression" dxfId="137" priority="12">
      <formula>IF($D22="НТР",(SUMIF($D$14:$D$115,$D22,$K$14:$K$115)+SUMIF($D$14:$D$115,$D22,$J$14:$J$115))&lt;SUMIF($D$14:$D$115,"НТР",$G$14:$G$115))</formula>
    </cfRule>
  </conditionalFormatting>
  <conditionalFormatting sqref="U22">
    <cfRule type="expression" dxfId="136" priority="7">
      <formula>U22&gt;(Q22*2)</formula>
    </cfRule>
    <cfRule type="expression" dxfId="135" priority="8">
      <formula>IF($D22="НПР",(SUMIF($D$14:$D$115,$D22,$K$14:$K$115)+SUMIF($D$14:$D$115,$D22,$J$14:$J$115))&lt;SUMIF($D$14:$D$115,"НПР",$G$14:$G$115))</formula>
    </cfRule>
    <cfRule type="expression" dxfId="134" priority="9">
      <formula>IF($D22="НТР",(SUMIF($D$14:$D$115,$D22,$K$14:$K$115)+SUMIF($D$14:$D$115,$D22,$J$14:$J$115))&lt;SUMIF($D$14:$D$115,"НТР",$G$14:$G$115))</formula>
    </cfRule>
  </conditionalFormatting>
  <conditionalFormatting sqref="P32">
    <cfRule type="expression" dxfId="133" priority="4">
      <formula>P32&gt;(L32*2)</formula>
    </cfRule>
    <cfRule type="expression" dxfId="132" priority="5">
      <formula>IF($D32="НПР",(SUMIF($D$14:$D$115,$D32,$K$14:$K$115)+SUMIF($D$14:$D$115,$D32,$J$14:$J$115))&lt;SUMIF($D$14:$D$115,"НПР",$G$14:$G$115))</formula>
    </cfRule>
    <cfRule type="expression" dxfId="131" priority="6">
      <formula>IF($D32="НТР",(SUMIF($D$14:$D$115,$D32,$K$14:$K$115)+SUMIF($D$14:$D$115,$D32,$J$14:$J$115))&lt;SUMIF($D$14:$D$115,"НТР",$G$14:$G$115))</formula>
    </cfRule>
  </conditionalFormatting>
  <conditionalFormatting sqref="U32">
    <cfRule type="expression" dxfId="130" priority="1">
      <formula>U32&gt;(Q32*2)</formula>
    </cfRule>
    <cfRule type="expression" dxfId="129" priority="2">
      <formula>IF($D32="НПР",(SUMIF($D$14:$D$115,$D32,$K$14:$K$115)+SUMIF($D$14:$D$115,$D32,$J$14:$J$115))&lt;SUMIF($D$14:$D$115,"НПР",$G$14:$G$115))</formula>
    </cfRule>
    <cfRule type="expression" dxfId="128" priority="3">
      <formula>IF($D32="НТР",(SUMIF($D$14:$D$115,$D32,$K$14:$K$115)+SUMIF($D$14:$D$115,$D32,$J$14:$J$115))&lt;SUMIF($D$14:$D$115,"НТР",$G$14:$G$115))</formula>
    </cfRule>
  </conditionalFormatting>
  <conditionalFormatting sqref="P14:P114">
    <cfRule type="expression" dxfId="127" priority="22">
      <formula>P14&gt;(L14*2)</formula>
    </cfRule>
    <cfRule type="expression" dxfId="126" priority="23">
      <formula>IF($D14="НПР",(SUMIF($D$14:$D$115,$D14,$P$14:$P$115)+SUMIF($D$14:$D$115,$D14,$O$14:$O$115))&lt;SUMIF($D$14:$D$115,"НПР",$L$14:$L$115))</formula>
    </cfRule>
    <cfRule type="expression" dxfId="125" priority="24">
      <formula>IF($D14="НТР",(SUMIF($D$14:$D$115,$D14,$P$14:$P$115)+SUMIF($D$14:$D$115,$D14,$O$14:$O$115))&lt;SUMIF($D$14:$D$115,"НТР",$L$14:$L$115))</formula>
    </cfRule>
  </conditionalFormatting>
  <conditionalFormatting sqref="K14:K114">
    <cfRule type="expression" dxfId="124" priority="120">
      <formula>K14&gt;(G14*2)</formula>
    </cfRule>
    <cfRule type="expression" dxfId="123" priority="121">
      <formula>IF($D14="НПР",(SUMIF($D$14:$D$115,$D14,$K$14:$K$115)+SUMIF($D$14:$D$115,$D14,$J$14:$J$115))&lt;SUMIF($D$14:$D$115,"НПР",$G$14:$G$115))</formula>
    </cfRule>
    <cfRule type="expression" dxfId="122" priority="126">
      <formula>IF($D14="НТР",(SUMIF($D$14:$D$115,$D14,$K$14:$K$115)+SUMIF($D$14:$D$115,$D14,$J$14:$J$115))&lt;SUMIF($D$14:$D$115,"НТР",$G$14:$G$115))</formula>
    </cfRule>
  </conditionalFormatting>
  <conditionalFormatting sqref="U14:U114">
    <cfRule type="expression" dxfId="121" priority="16">
      <formula>U14&gt;(Q14*2)</formula>
    </cfRule>
    <cfRule type="expression" dxfId="120" priority="17">
      <formula>IF($D14="НПР",(SUMIF($D$14:$D$115,$D14,$U$14:$U$115)+SUMIF($D$14:$D$115,$D14,$J$14:$J$115))&lt;SUMIF($D$14:$D$115,"НПР",$Q$14:$Q$115))</formula>
    </cfRule>
    <cfRule type="expression" dxfId="119" priority="18">
      <formula>IF($D14="НТР",(SUMIF($D$14:$D$115,$D14,$U$14:$U$115)+SUMIF($D$14:$D$115,$D14,$J$14:$J$115))&lt;SUMIF($D$14:$D$115,"НТР",$Q$14:$Q$115))</formula>
    </cfRule>
  </conditionalFormatting>
  <pageMargins left="0.7" right="0.7" top="0.75" bottom="0.75" header="0.3" footer="0.3"/>
  <pageSetup paperSize="9" scale="3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2" id="{87501AD8-7E8E-46C2-B7C3-5D9B4E8D90E3}">
            <xm:f>AB13&gt;('Расчет участников НИР'!$H$11+('Расчет участников НИР'!$H$13/1.302))</xm:f>
            <x14:dxf>
              <fill>
                <patternFill>
                  <bgColor rgb="FFFF0000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cellIs" priority="128" operator="greaterThan" id="{E6A9ED37-4474-42E4-882E-06FF09F73FC8}">
            <xm:f>'Расчет участников НИР'!$H$11</xm:f>
            <x14:dxf>
              <fill>
                <patternFill>
                  <bgColor rgb="FFFF0000"/>
                </patternFill>
              </fill>
            </x14:dxf>
          </x14:cfRule>
          <xm:sqref>AC13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>
      <selection activeCell="A17" sqref="A17:XFD17"/>
    </sheetView>
  </sheetViews>
  <sheetFormatPr defaultRowHeight="15" x14ac:dyDescent="0.25"/>
  <cols>
    <col min="1" max="1" width="41.28515625" style="727" customWidth="1"/>
    <col min="2" max="10" width="10.140625" style="727" bestFit="1" customWidth="1"/>
    <col min="11" max="11" width="14.28515625" style="727" customWidth="1"/>
    <col min="12" max="12" width="13.140625" style="727" customWidth="1"/>
    <col min="13" max="13" width="11.5703125" style="727" bestFit="1" customWidth="1"/>
    <col min="14" max="14" width="6.28515625" style="727" customWidth="1"/>
    <col min="15" max="18" width="11.5703125" style="727" customWidth="1"/>
    <col min="19" max="19" width="8.28515625" style="727" customWidth="1"/>
    <col min="20" max="20" width="6.140625" style="727" bestFit="1" customWidth="1"/>
    <col min="21" max="22" width="18.5703125" style="727" bestFit="1" customWidth="1"/>
    <col min="23" max="16384" width="9.140625" style="727"/>
  </cols>
  <sheetData>
    <row r="1" spans="1:21" ht="22.5" x14ac:dyDescent="0.3">
      <c r="A1" s="726" t="s">
        <v>907</v>
      </c>
    </row>
    <row r="2" spans="1:21" ht="15.75" thickBot="1" x14ac:dyDescent="0.3"/>
    <row r="3" spans="1:21" s="728" customFormat="1" ht="36" customHeight="1" x14ac:dyDescent="0.25">
      <c r="A3" s="853" t="s">
        <v>2</v>
      </c>
      <c r="B3" s="847" t="s">
        <v>908</v>
      </c>
      <c r="C3" s="847"/>
      <c r="D3" s="847" t="s">
        <v>909</v>
      </c>
      <c r="E3" s="847"/>
      <c r="F3" s="847"/>
      <c r="G3" s="847" t="s">
        <v>457</v>
      </c>
      <c r="H3" s="847" t="s">
        <v>909</v>
      </c>
      <c r="I3" s="847"/>
      <c r="J3" s="847"/>
      <c r="K3" s="847" t="s">
        <v>457</v>
      </c>
      <c r="L3" s="847" t="s">
        <v>3</v>
      </c>
      <c r="M3" s="850" t="s">
        <v>910</v>
      </c>
      <c r="O3" s="853" t="s">
        <v>909</v>
      </c>
      <c r="P3" s="847"/>
      <c r="Q3" s="847"/>
      <c r="R3" s="854" t="s">
        <v>457</v>
      </c>
      <c r="T3" s="729">
        <v>0.5</v>
      </c>
      <c r="U3" s="730" t="s">
        <v>911</v>
      </c>
    </row>
    <row r="4" spans="1:21" s="728" customFormat="1" x14ac:dyDescent="0.25">
      <c r="A4" s="858"/>
      <c r="B4" s="731" t="s">
        <v>458</v>
      </c>
      <c r="C4" s="731" t="s">
        <v>459</v>
      </c>
      <c r="D4" s="731">
        <v>1</v>
      </c>
      <c r="E4" s="731">
        <v>2</v>
      </c>
      <c r="F4" s="731">
        <v>3</v>
      </c>
      <c r="G4" s="848"/>
      <c r="H4" s="731">
        <v>1</v>
      </c>
      <c r="I4" s="731">
        <v>2</v>
      </c>
      <c r="J4" s="731">
        <v>3</v>
      </c>
      <c r="K4" s="848"/>
      <c r="L4" s="848"/>
      <c r="M4" s="851"/>
      <c r="O4" s="732">
        <v>1</v>
      </c>
      <c r="P4" s="731">
        <v>2</v>
      </c>
      <c r="Q4" s="731">
        <v>3</v>
      </c>
      <c r="R4" s="855"/>
      <c r="T4" s="729">
        <v>0.5</v>
      </c>
      <c r="U4" s="730" t="s">
        <v>912</v>
      </c>
    </row>
    <row r="5" spans="1:21" s="728" customFormat="1" ht="24.75" customHeight="1" thickBot="1" x14ac:dyDescent="0.3">
      <c r="A5" s="856" t="s">
        <v>913</v>
      </c>
      <c r="B5" s="857"/>
      <c r="C5" s="857"/>
      <c r="D5" s="733">
        <f>Выплаты!G8</f>
        <v>45371</v>
      </c>
      <c r="E5" s="733">
        <f>Выплаты!L8</f>
        <v>45463</v>
      </c>
      <c r="F5" s="733">
        <f>Выплаты!Q8</f>
        <v>45555</v>
      </c>
      <c r="G5" s="733">
        <f>Выплаты!V8</f>
        <v>45641</v>
      </c>
      <c r="H5" s="733">
        <f>D5</f>
        <v>45371</v>
      </c>
      <c r="I5" s="733">
        <f>E5</f>
        <v>45463</v>
      </c>
      <c r="J5" s="733">
        <f>F5</f>
        <v>45555</v>
      </c>
      <c r="K5" s="733">
        <f>G5</f>
        <v>45641</v>
      </c>
      <c r="L5" s="849"/>
      <c r="M5" s="852"/>
      <c r="N5" s="734"/>
      <c r="O5" s="735">
        <f>H5</f>
        <v>45371</v>
      </c>
      <c r="P5" s="736">
        <f>I5</f>
        <v>45463</v>
      </c>
      <c r="Q5" s="736">
        <f>J5</f>
        <v>45555</v>
      </c>
      <c r="R5" s="737">
        <f>K5</f>
        <v>45641</v>
      </c>
      <c r="S5" s="734"/>
      <c r="T5" s="729">
        <v>0.2</v>
      </c>
      <c r="U5" s="730" t="s">
        <v>914</v>
      </c>
    </row>
    <row r="6" spans="1:21" x14ac:dyDescent="0.25">
      <c r="A6" s="738">
        <f>'Состав ВТК'!B9</f>
        <v>0</v>
      </c>
      <c r="B6" s="739">
        <f>'Состав ВТК'!L9</f>
        <v>0</v>
      </c>
      <c r="C6" s="739">
        <f>'Состав ВТК'!M9</f>
        <v>0</v>
      </c>
      <c r="D6" s="740" t="b">
        <f>AND($C6&gt;=$D$5,$B6&lt;=$D$5)</f>
        <v>0</v>
      </c>
      <c r="E6" s="740" t="b">
        <f>AND($C6&gt;=$E$5,$B6&lt;=$E$5)</f>
        <v>0</v>
      </c>
      <c r="F6" s="740" t="b">
        <f>AND($C6&gt;=$F$5,$B6&lt;=$F$5)</f>
        <v>0</v>
      </c>
      <c r="G6" s="740" t="b">
        <f>AND($C6&gt;=$G$5,$B6&lt;=$G$5)</f>
        <v>0</v>
      </c>
      <c r="H6" s="741">
        <f>IF(D6=TRUE,IF(E6=FALSE,'Расчет участников НИР'!$H16*(50%/1),IF(AND(E6=TRUE,F6=TRUE,G6=TRUE),'Расчет участников НИР'!$H16*'счеталка премий'!$T$6,IF(AND(E6=TRUE,F6=TRUE),'Расчет участников НИР'!$H16*(50%/3),'Расчет участников НИР'!$H16*(50%/2)))),0)</f>
        <v>0</v>
      </c>
      <c r="I6" s="741">
        <f>IF(E6=TRUE,IF(D6=FALSE,'Расчет участников НИР'!$H16*(10%),IF(F6=FALSE,'Расчет участников НИР'!$H16*(50%/2),IF(AND(F6=TRUE,G6=TRUE),'Расчет участников НИР'!$H16*'счеталка премий'!$T$6,'Расчет участников НИР'!$H16*(50%/3)))),0)</f>
        <v>0</v>
      </c>
      <c r="J6" s="741">
        <f>IF(F6=TRUE,IF(AND(D6=FALSE,E6=FALSE),'Расчет участников НИР'!$H16*(20%),IF(D6=FALSE,'Расчет участников НИР'!$H16*(10%),IF(G6=FALSE,'Расчет участников НИР'!$H16*(50%/3),'Расчет участников НИР'!$H16*'счеталка премий'!$T$6))),0)</f>
        <v>0</v>
      </c>
      <c r="K6" s="741">
        <f>IF(G6=TRUE,IF(AND(D6=FALSE,E6=FALSE,F6=FALSE),'Расчет участников НИР'!$H16*(50%),'Расчет участников НИР'!$H16*'счеталка премий'!$T$7),0)</f>
        <v>0</v>
      </c>
      <c r="L6" s="741">
        <f t="shared" ref="L6:L22" si="0">SUM(H6:K6)</f>
        <v>0</v>
      </c>
      <c r="M6" s="741">
        <f>'Расчет участников НИР'!H16</f>
        <v>0</v>
      </c>
      <c r="N6" s="734"/>
      <c r="O6" s="742" t="e">
        <f>H6/$M6</f>
        <v>#DIV/0!</v>
      </c>
      <c r="P6" s="742" t="e">
        <f>I6/$M6</f>
        <v>#DIV/0!</v>
      </c>
      <c r="Q6" s="742" t="e">
        <f>J6/$M6</f>
        <v>#DIV/0!</v>
      </c>
      <c r="R6" s="742" t="e">
        <f>K6/$M6</f>
        <v>#DIV/0!</v>
      </c>
      <c r="S6" s="734"/>
      <c r="T6" s="743">
        <f>T5/3</f>
        <v>6.6666666666666666E-2</v>
      </c>
      <c r="U6" s="744" t="s">
        <v>378</v>
      </c>
    </row>
    <row r="7" spans="1:21" x14ac:dyDescent="0.25">
      <c r="A7" s="745">
        <f>'Состав ВТК'!B10</f>
        <v>0</v>
      </c>
      <c r="B7" s="739">
        <f>'Состав ВТК'!L10</f>
        <v>0</v>
      </c>
      <c r="C7" s="739">
        <f>'Состав ВТК'!M10</f>
        <v>0</v>
      </c>
      <c r="D7" s="746" t="b">
        <f t="shared" ref="D7:D70" si="1">AND($C7&gt;=$D$5,$B7&lt;=$D$5)</f>
        <v>0</v>
      </c>
      <c r="E7" s="746" t="b">
        <f t="shared" ref="E7:E70" si="2">AND($C7&gt;=$E$5,$B7&lt;=$E$5)</f>
        <v>0</v>
      </c>
      <c r="F7" s="746" t="b">
        <f t="shared" ref="F7:F70" si="3">AND($C7&gt;=$F$5,$B7&lt;=$F$5)</f>
        <v>0</v>
      </c>
      <c r="G7" s="746" t="b">
        <f t="shared" ref="G7:G70" si="4">AND($C7&gt;=$G$5,$B7&lt;=$G$5)</f>
        <v>0</v>
      </c>
      <c r="H7" s="741">
        <f>IF(D7=TRUE,IF(E7=FALSE,'Расчет участников НИР'!$H17*(50%/1),IF(AND(E7=TRUE,F7=TRUE,G7=TRUE),'Расчет участников НИР'!$H17*'счеталка премий'!$T$6,IF(AND(E7=TRUE,F7=TRUE),'Расчет участников НИР'!$H17*(50%/3),'Расчет участников НИР'!$H17*(50%/2)))),0)</f>
        <v>0</v>
      </c>
      <c r="I7" s="741">
        <f>IF(E7=TRUE,IF(D7=FALSE,'Расчет участников НИР'!$H17*(10%),IF(F7=FALSE,'Расчет участников НИР'!$H17*(50%/2),IF(AND(F7=TRUE,G7=TRUE),'Расчет участников НИР'!$H17*'счеталка премий'!$T$6,'Расчет участников НИР'!$H17*(50%/3)))),0)</f>
        <v>0</v>
      </c>
      <c r="J7" s="741">
        <f>IF(F7=TRUE,IF(AND(D7=FALSE,E7=FALSE),'Расчет участников НИР'!$H17*(20%),IF(D7=FALSE,'Расчет участников НИР'!$H17*(10%),IF(G7=FALSE,'Расчет участников НИР'!$H17*(50%/3),'Расчет участников НИР'!$H17*'счеталка премий'!$T$6))),0)</f>
        <v>0</v>
      </c>
      <c r="K7" s="741">
        <f>IF(G7=TRUE,IF(AND(D7=FALSE,E7=FALSE,F7=FALSE),'Расчет участников НИР'!$H17*(50%),'Расчет участников НИР'!$H17*'счеталка премий'!$T$7),0)</f>
        <v>0</v>
      </c>
      <c r="L7" s="741">
        <f t="shared" si="0"/>
        <v>0</v>
      </c>
      <c r="M7" s="741">
        <f>'Расчет участников НИР'!H17</f>
        <v>0</v>
      </c>
      <c r="N7" s="734"/>
      <c r="O7" s="747" t="e">
        <f t="shared" ref="O7:R33" si="5">H7/$M7</f>
        <v>#DIV/0!</v>
      </c>
      <c r="P7" s="747" t="e">
        <f t="shared" si="5"/>
        <v>#DIV/0!</v>
      </c>
      <c r="Q7" s="747" t="e">
        <f t="shared" si="5"/>
        <v>#DIV/0!</v>
      </c>
      <c r="R7" s="747" t="e">
        <f t="shared" si="5"/>
        <v>#DIV/0!</v>
      </c>
      <c r="S7" s="734"/>
      <c r="T7" s="729">
        <v>0.3</v>
      </c>
      <c r="U7" s="730" t="s">
        <v>218</v>
      </c>
    </row>
    <row r="8" spans="1:21" x14ac:dyDescent="0.25">
      <c r="A8" s="745">
        <f>'Состав ВТК'!B11</f>
        <v>0</v>
      </c>
      <c r="B8" s="739">
        <f>'Состав ВТК'!L11</f>
        <v>0</v>
      </c>
      <c r="C8" s="739">
        <f>'Состав ВТК'!M11</f>
        <v>0</v>
      </c>
      <c r="D8" s="746" t="b">
        <f t="shared" si="1"/>
        <v>0</v>
      </c>
      <c r="E8" s="746" t="b">
        <f t="shared" si="2"/>
        <v>0</v>
      </c>
      <c r="F8" s="746" t="b">
        <f t="shared" si="3"/>
        <v>0</v>
      </c>
      <c r="G8" s="746" t="b">
        <f t="shared" si="4"/>
        <v>0</v>
      </c>
      <c r="H8" s="741">
        <f>IF(D8=TRUE,IF(E8=FALSE,'Расчет участников НИР'!$H18*(50%/1),IF(AND(E8=TRUE,F8=TRUE,G8=TRUE),'Расчет участников НИР'!$H18*'счеталка премий'!$T$6,IF(AND(E8=TRUE,F8=TRUE),'Расчет участников НИР'!$H18*(50%/3),'Расчет участников НИР'!$H18*(50%/2)))),0)</f>
        <v>0</v>
      </c>
      <c r="I8" s="741">
        <f>IF(E8=TRUE,IF(D8=FALSE,'Расчет участников НИР'!$H18*(10%),IF(F8=FALSE,'Расчет участников НИР'!$H18*(50%/2),IF(AND(F8=TRUE,G8=TRUE),'Расчет участников НИР'!$H18*'счеталка премий'!$T$6,'Расчет участников НИР'!$H18*(50%/3)))),0)</f>
        <v>0</v>
      </c>
      <c r="J8" s="741">
        <f>IF(F8=TRUE,IF(AND(D8=FALSE,E8=FALSE),'Расчет участников НИР'!$H18*(20%),IF(D8=FALSE,'Расчет участников НИР'!$H18*(10%),IF(G8=FALSE,'Расчет участников НИР'!$H18*(50%/3),'Расчет участников НИР'!$H18*'счеталка премий'!$T$6))),0)</f>
        <v>0</v>
      </c>
      <c r="K8" s="741">
        <f>IF(G8=TRUE,IF(AND(D8=FALSE,E8=FALSE,F8=FALSE),'Расчет участников НИР'!$H18*(50%),'Расчет участников НИР'!$H18*'счеталка премий'!$T$7),0)</f>
        <v>0</v>
      </c>
      <c r="L8" s="741">
        <f t="shared" si="0"/>
        <v>0</v>
      </c>
      <c r="M8" s="741">
        <f>'Расчет участников НИР'!H18</f>
        <v>0</v>
      </c>
      <c r="N8" s="734"/>
      <c r="O8" s="747" t="e">
        <f t="shared" si="5"/>
        <v>#DIV/0!</v>
      </c>
      <c r="P8" s="747" t="e">
        <f t="shared" si="5"/>
        <v>#DIV/0!</v>
      </c>
      <c r="Q8" s="747" t="e">
        <f t="shared" si="5"/>
        <v>#DIV/0!</v>
      </c>
      <c r="R8" s="747" t="e">
        <f t="shared" si="5"/>
        <v>#DIV/0!</v>
      </c>
      <c r="S8" s="734"/>
      <c r="T8" s="734"/>
    </row>
    <row r="9" spans="1:21" x14ac:dyDescent="0.25">
      <c r="A9" s="745">
        <f>'Состав ВТК'!B12</f>
        <v>0</v>
      </c>
      <c r="B9" s="739">
        <f>'Состав ВТК'!L12</f>
        <v>0</v>
      </c>
      <c r="C9" s="739">
        <f>'Состав ВТК'!M12</f>
        <v>0</v>
      </c>
      <c r="D9" s="746" t="b">
        <f t="shared" si="1"/>
        <v>0</v>
      </c>
      <c r="E9" s="746" t="b">
        <f t="shared" si="2"/>
        <v>0</v>
      </c>
      <c r="F9" s="746" t="b">
        <f t="shared" si="3"/>
        <v>0</v>
      </c>
      <c r="G9" s="746" t="b">
        <f t="shared" si="4"/>
        <v>0</v>
      </c>
      <c r="H9" s="741">
        <f>IF(D9=TRUE,IF(E9=FALSE,'Расчет участников НИР'!$H19*(50%/1),IF(AND(E9=TRUE,F9=TRUE,G9=TRUE),'Расчет участников НИР'!$H19*'счеталка премий'!$T$6,IF(AND(E9=TRUE,F9=TRUE),'Расчет участников НИР'!$H19*(50%/3),'Расчет участников НИР'!$H19*(50%/2)))),0)</f>
        <v>0</v>
      </c>
      <c r="I9" s="741">
        <f>IF(E9=TRUE,IF(D9=FALSE,'Расчет участников НИР'!$H19*(10%),IF(F9=FALSE,'Расчет участников НИР'!$H19*(50%/2),IF(AND(F9=TRUE,G9=TRUE),'Расчет участников НИР'!$H19*'счеталка премий'!$T$6,'Расчет участников НИР'!$H19*(50%/3)))),0)</f>
        <v>0</v>
      </c>
      <c r="J9" s="741">
        <f>IF(F9=TRUE,IF(AND(D9=FALSE,E9=FALSE),'Расчет участников НИР'!$H19*(20%),IF(D9=FALSE,'Расчет участников НИР'!$H19*(10%),IF(G9=FALSE,'Расчет участников НИР'!$H19*(50%/3),'Расчет участников НИР'!$H19*'счеталка премий'!$T$6))),0)</f>
        <v>0</v>
      </c>
      <c r="K9" s="741">
        <f>IF(G9=TRUE,IF(AND(D9=FALSE,E9=FALSE,F9=FALSE),'Расчет участников НИР'!$H19*(50%),'Расчет участников НИР'!$H19*'счеталка премий'!$T$7),0)</f>
        <v>0</v>
      </c>
      <c r="L9" s="741">
        <f t="shared" si="0"/>
        <v>0</v>
      </c>
      <c r="M9" s="741">
        <f>'Расчет участников НИР'!H19</f>
        <v>0</v>
      </c>
      <c r="N9" s="734"/>
      <c r="O9" s="747" t="e">
        <f t="shared" si="5"/>
        <v>#DIV/0!</v>
      </c>
      <c r="P9" s="747" t="e">
        <f t="shared" si="5"/>
        <v>#DIV/0!</v>
      </c>
      <c r="Q9" s="747" t="e">
        <f t="shared" si="5"/>
        <v>#DIV/0!</v>
      </c>
      <c r="R9" s="747" t="e">
        <f t="shared" si="5"/>
        <v>#DIV/0!</v>
      </c>
      <c r="S9" s="734"/>
      <c r="T9" s="734"/>
    </row>
    <row r="10" spans="1:21" x14ac:dyDescent="0.25">
      <c r="A10" s="745">
        <f>'Состав ВТК'!B13</f>
        <v>0</v>
      </c>
      <c r="B10" s="739">
        <f>'Состав ВТК'!L13</f>
        <v>0</v>
      </c>
      <c r="C10" s="739">
        <f>'Состав ВТК'!M13</f>
        <v>0</v>
      </c>
      <c r="D10" s="746" t="b">
        <f t="shared" si="1"/>
        <v>0</v>
      </c>
      <c r="E10" s="746" t="b">
        <f t="shared" si="2"/>
        <v>0</v>
      </c>
      <c r="F10" s="746" t="b">
        <f t="shared" si="3"/>
        <v>0</v>
      </c>
      <c r="G10" s="746" t="b">
        <f t="shared" si="4"/>
        <v>0</v>
      </c>
      <c r="H10" s="741">
        <f>IF(D10=TRUE,IF(E10=FALSE,'Расчет участников НИР'!$H20*(50%/1),IF(AND(E10=TRUE,F10=TRUE,G10=TRUE),'Расчет участников НИР'!$H20*'счеталка премий'!$T$6,IF(AND(E10=TRUE,F10=TRUE),'Расчет участников НИР'!$H20*(50%/3),'Расчет участников НИР'!$H20*(50%/2)))),0)</f>
        <v>0</v>
      </c>
      <c r="I10" s="741">
        <f>IF(E10=TRUE,IF(D10=FALSE,'Расчет участников НИР'!$H20*(10%),IF(F10=FALSE,'Расчет участников НИР'!$H20*(50%/2),IF(AND(F10=TRUE,G10=TRUE),'Расчет участников НИР'!$H20*'счеталка премий'!$T$6,'Расчет участников НИР'!$H20*(50%/3)))),0)</f>
        <v>0</v>
      </c>
      <c r="J10" s="741">
        <f>IF(F10=TRUE,IF(AND(D10=FALSE,E10=FALSE),'Расчет участников НИР'!$H20*(20%),IF(D10=FALSE,'Расчет участников НИР'!$H20*(10%),IF(G10=FALSE,'Расчет участников НИР'!$H20*(50%/3),'Расчет участников НИР'!$H20*'счеталка премий'!$T$6))),0)</f>
        <v>0</v>
      </c>
      <c r="K10" s="741">
        <f>IF(G10=TRUE,IF(AND(D10=FALSE,E10=FALSE,F10=FALSE),'Расчет участников НИР'!$H20*(50%),'Расчет участников НИР'!$H20*'счеталка премий'!$T$7),0)</f>
        <v>0</v>
      </c>
      <c r="L10" s="741">
        <f t="shared" si="0"/>
        <v>0</v>
      </c>
      <c r="M10" s="741">
        <f>'Расчет участников НИР'!H20</f>
        <v>0</v>
      </c>
      <c r="N10" s="734"/>
      <c r="O10" s="747" t="e">
        <f t="shared" si="5"/>
        <v>#DIV/0!</v>
      </c>
      <c r="P10" s="747" t="e">
        <f t="shared" si="5"/>
        <v>#DIV/0!</v>
      </c>
      <c r="Q10" s="747" t="e">
        <f t="shared" si="5"/>
        <v>#DIV/0!</v>
      </c>
      <c r="R10" s="747" t="e">
        <f t="shared" si="5"/>
        <v>#DIV/0!</v>
      </c>
      <c r="S10" s="734"/>
      <c r="T10" s="734"/>
    </row>
    <row r="11" spans="1:21" x14ac:dyDescent="0.25">
      <c r="A11" s="745">
        <f>'Состав ВТК'!B14</f>
        <v>0</v>
      </c>
      <c r="B11" s="739">
        <f>'Состав ВТК'!L14</f>
        <v>0</v>
      </c>
      <c r="C11" s="739">
        <f>'Состав ВТК'!M14</f>
        <v>0</v>
      </c>
      <c r="D11" s="746" t="b">
        <f t="shared" si="1"/>
        <v>0</v>
      </c>
      <c r="E11" s="746" t="b">
        <f t="shared" si="2"/>
        <v>0</v>
      </c>
      <c r="F11" s="746" t="b">
        <f t="shared" si="3"/>
        <v>0</v>
      </c>
      <c r="G11" s="746" t="b">
        <f t="shared" si="4"/>
        <v>0</v>
      </c>
      <c r="H11" s="741">
        <f>IF(D11=TRUE,IF(E11=FALSE,'Расчет участников НИР'!$H21*(50%/1),IF(AND(E11=TRUE,F11=TRUE,G11=TRUE),'Расчет участников НИР'!$H21*'счеталка премий'!$T$6,IF(AND(E11=TRUE,F11=TRUE),'Расчет участников НИР'!$H21*(50%/3),'Расчет участников НИР'!$H21*(50%/2)))),0)</f>
        <v>0</v>
      </c>
      <c r="I11" s="741">
        <f>IF(E11=TRUE,IF(D11=FALSE,'Расчет участников НИР'!$H21*(10%),IF(F11=FALSE,'Расчет участников НИР'!$H21*(50%/2),IF(AND(F11=TRUE,G11=TRUE),'Расчет участников НИР'!$H21*'счеталка премий'!$T$6,'Расчет участников НИР'!$H21*(50%/3)))),0)</f>
        <v>0</v>
      </c>
      <c r="J11" s="741">
        <f>IF(F11=TRUE,IF(AND(D11=FALSE,E11=FALSE),'Расчет участников НИР'!$H21*(20%),IF(D11=FALSE,'Расчет участников НИР'!$H21*(10%),IF(G11=FALSE,'Расчет участников НИР'!$H21*(50%/3),'Расчет участников НИР'!$H21*'счеталка премий'!$T$6))),0)</f>
        <v>0</v>
      </c>
      <c r="K11" s="741">
        <f>IF(G11=TRUE,IF(AND(D11=FALSE,E11=FALSE,F11=FALSE),'Расчет участников НИР'!$H21*(50%),'Расчет участников НИР'!$H21*'счеталка премий'!$T$7),0)</f>
        <v>0</v>
      </c>
      <c r="L11" s="741">
        <f t="shared" si="0"/>
        <v>0</v>
      </c>
      <c r="M11" s="741">
        <f>'Расчет участников НИР'!H21</f>
        <v>0</v>
      </c>
      <c r="N11" s="734"/>
      <c r="O11" s="747" t="e">
        <f t="shared" si="5"/>
        <v>#DIV/0!</v>
      </c>
      <c r="P11" s="747" t="e">
        <f t="shared" si="5"/>
        <v>#DIV/0!</v>
      </c>
      <c r="Q11" s="747" t="e">
        <f t="shared" si="5"/>
        <v>#DIV/0!</v>
      </c>
      <c r="R11" s="747" t="e">
        <f t="shared" si="5"/>
        <v>#DIV/0!</v>
      </c>
      <c r="S11" s="734"/>
      <c r="T11" s="734"/>
    </row>
    <row r="12" spans="1:21" x14ac:dyDescent="0.25">
      <c r="A12" s="745">
        <f>'Состав ВТК'!B15</f>
        <v>0</v>
      </c>
      <c r="B12" s="739">
        <f>'Состав ВТК'!L15</f>
        <v>0</v>
      </c>
      <c r="C12" s="739">
        <f>'Состав ВТК'!M15</f>
        <v>0</v>
      </c>
      <c r="D12" s="746" t="b">
        <f t="shared" si="1"/>
        <v>0</v>
      </c>
      <c r="E12" s="746" t="b">
        <f t="shared" si="2"/>
        <v>0</v>
      </c>
      <c r="F12" s="746" t="b">
        <f t="shared" si="3"/>
        <v>0</v>
      </c>
      <c r="G12" s="746" t="b">
        <f t="shared" si="4"/>
        <v>0</v>
      </c>
      <c r="H12" s="741">
        <f>IF(D12=TRUE,IF(E12=FALSE,'Расчет участников НИР'!$H22*(50%/1),IF(AND(E12=TRUE,F12=TRUE,G12=TRUE),'Расчет участников НИР'!$H22*'счеталка премий'!$T$6,IF(AND(E12=TRUE,F12=TRUE),'Расчет участников НИР'!$H22*(50%/3),'Расчет участников НИР'!$H22*(50%/2)))),0)</f>
        <v>0</v>
      </c>
      <c r="I12" s="741">
        <f>IF(E12=TRUE,IF(D12=FALSE,'Расчет участников НИР'!$H22*(10%),IF(F12=FALSE,'Расчет участников НИР'!$H22*(50%/2),IF(AND(F12=TRUE,G12=TRUE),'Расчет участников НИР'!$H22*'счеталка премий'!$T$6,'Расчет участников НИР'!$H22*(50%/3)))),0)</f>
        <v>0</v>
      </c>
      <c r="J12" s="741">
        <f>IF(F12=TRUE,IF(AND(D12=FALSE,E12=FALSE),'Расчет участников НИР'!$H22*(20%),IF(D12=FALSE,'Расчет участников НИР'!$H22*(10%),IF(G12=FALSE,'Расчет участников НИР'!$H22*(50%/3),'Расчет участников НИР'!$H22*'счеталка премий'!$T$6))),0)</f>
        <v>0</v>
      </c>
      <c r="K12" s="741">
        <f>IF(G12=TRUE,IF(AND(D12=FALSE,E12=FALSE,F12=FALSE),'Расчет участников НИР'!$H22*(50%),'Расчет участников НИР'!$H22*'счеталка премий'!$T$7),0)</f>
        <v>0</v>
      </c>
      <c r="L12" s="741">
        <f t="shared" si="0"/>
        <v>0</v>
      </c>
      <c r="M12" s="741">
        <f>'Расчет участников НИР'!H22</f>
        <v>0</v>
      </c>
      <c r="N12" s="734"/>
      <c r="O12" s="747" t="e">
        <f t="shared" si="5"/>
        <v>#DIV/0!</v>
      </c>
      <c r="P12" s="747" t="e">
        <f t="shared" si="5"/>
        <v>#DIV/0!</v>
      </c>
      <c r="Q12" s="747" t="e">
        <f t="shared" si="5"/>
        <v>#DIV/0!</v>
      </c>
      <c r="R12" s="747" t="e">
        <f t="shared" si="5"/>
        <v>#DIV/0!</v>
      </c>
      <c r="S12" s="734"/>
      <c r="T12" s="734"/>
    </row>
    <row r="13" spans="1:21" x14ac:dyDescent="0.25">
      <c r="A13" s="745">
        <f>'Состав ВТК'!B16</f>
        <v>0</v>
      </c>
      <c r="B13" s="739">
        <f>'Состав ВТК'!L16</f>
        <v>0</v>
      </c>
      <c r="C13" s="739">
        <f>'Состав ВТК'!M16</f>
        <v>0</v>
      </c>
      <c r="D13" s="746" t="b">
        <f t="shared" si="1"/>
        <v>0</v>
      </c>
      <c r="E13" s="746" t="b">
        <f t="shared" si="2"/>
        <v>0</v>
      </c>
      <c r="F13" s="746" t="b">
        <f t="shared" si="3"/>
        <v>0</v>
      </c>
      <c r="G13" s="746" t="b">
        <f t="shared" si="4"/>
        <v>0</v>
      </c>
      <c r="H13" s="741">
        <f>IF(D13=TRUE,IF(E13=FALSE,'Расчет участников НИР'!$H23*(50%/1),IF(AND(E13=TRUE,F13=TRUE,G13=TRUE),'Расчет участников НИР'!$H23*'счеталка премий'!$T$6,IF(AND(E13=TRUE,F13=TRUE),'Расчет участников НИР'!$H23*(50%/3),'Расчет участников НИР'!$H23*(50%/2)))),0)</f>
        <v>0</v>
      </c>
      <c r="I13" s="741">
        <f>IF(E13=TRUE,IF(D13=FALSE,'Расчет участников НИР'!$H23*(10%),IF(F13=FALSE,'Расчет участников НИР'!$H23*(50%/2),IF(AND(F13=TRUE,G13=TRUE),'Расчет участников НИР'!$H23*'счеталка премий'!$T$6,'Расчет участников НИР'!$H23*(50%/3)))),0)</f>
        <v>0</v>
      </c>
      <c r="J13" s="741">
        <f>IF(F13=TRUE,IF(AND(D13=FALSE,E13=FALSE),'Расчет участников НИР'!$H23*(20%),IF(D13=FALSE,'Расчет участников НИР'!$H23*(10%),IF(G13=FALSE,'Расчет участников НИР'!$H23*(50%/3),'Расчет участников НИР'!$H23*'счеталка премий'!$T$6))),0)</f>
        <v>0</v>
      </c>
      <c r="K13" s="741">
        <f>IF(G13=TRUE,IF(AND(D13=FALSE,E13=FALSE,F13=FALSE),'Расчет участников НИР'!$H23*(50%),'Расчет участников НИР'!$H23*'счеталка премий'!$T$7),0)</f>
        <v>0</v>
      </c>
      <c r="L13" s="741">
        <f t="shared" si="0"/>
        <v>0</v>
      </c>
      <c r="M13" s="741">
        <f>'Расчет участников НИР'!H23</f>
        <v>0</v>
      </c>
      <c r="N13" s="734"/>
      <c r="O13" s="747" t="e">
        <f t="shared" si="5"/>
        <v>#DIV/0!</v>
      </c>
      <c r="P13" s="747" t="e">
        <f t="shared" si="5"/>
        <v>#DIV/0!</v>
      </c>
      <c r="Q13" s="747" t="e">
        <f t="shared" si="5"/>
        <v>#DIV/0!</v>
      </c>
      <c r="R13" s="747" t="e">
        <f t="shared" si="5"/>
        <v>#DIV/0!</v>
      </c>
      <c r="S13" s="734"/>
      <c r="T13" s="734"/>
    </row>
    <row r="14" spans="1:21" x14ac:dyDescent="0.25">
      <c r="A14" s="745">
        <f>'Состав ВТК'!B17</f>
        <v>0</v>
      </c>
      <c r="B14" s="739">
        <f>'Состав ВТК'!L17</f>
        <v>0</v>
      </c>
      <c r="C14" s="739">
        <f>'Состав ВТК'!M17</f>
        <v>0</v>
      </c>
      <c r="D14" s="746" t="b">
        <f t="shared" si="1"/>
        <v>0</v>
      </c>
      <c r="E14" s="746" t="b">
        <f t="shared" si="2"/>
        <v>0</v>
      </c>
      <c r="F14" s="746" t="b">
        <f t="shared" si="3"/>
        <v>0</v>
      </c>
      <c r="G14" s="746" t="b">
        <f t="shared" si="4"/>
        <v>0</v>
      </c>
      <c r="H14" s="741">
        <f>IF(D14=TRUE,IF(E14=FALSE,'Расчет участников НИР'!$H24*(50%/1),IF(AND(E14=TRUE,F14=TRUE,G14=TRUE),'Расчет участников НИР'!$H24*'счеталка премий'!$T$6,IF(AND(E14=TRUE,F14=TRUE),'Расчет участников НИР'!$H24*(50%/3),'Расчет участников НИР'!$H24*(50%/2)))),0)</f>
        <v>0</v>
      </c>
      <c r="I14" s="741">
        <f>IF(E14=TRUE,IF(D14=FALSE,'Расчет участников НИР'!$H24*(10%),IF(F14=FALSE,'Расчет участников НИР'!$H24*(50%/2),IF(AND(F14=TRUE,G14=TRUE),'Расчет участников НИР'!$H24*'счеталка премий'!$T$6,'Расчет участников НИР'!$H24*(50%/3)))),0)</f>
        <v>0</v>
      </c>
      <c r="J14" s="741">
        <f>IF(F14=TRUE,IF(AND(D14=FALSE,E14=FALSE),'Расчет участников НИР'!$H24*(20%),IF(D14=FALSE,'Расчет участников НИР'!$H24*(10%),IF(G14=FALSE,'Расчет участников НИР'!$H24*(50%/3),'Расчет участников НИР'!$H24*'счеталка премий'!$T$6))),0)</f>
        <v>0</v>
      </c>
      <c r="K14" s="741">
        <f>IF(G14=TRUE,IF(AND(D14=FALSE,E14=FALSE,F14=FALSE),'Расчет участников НИР'!$H24*(50%),'Расчет участников НИР'!$H24*'счеталка премий'!$T$7),0)</f>
        <v>0</v>
      </c>
      <c r="L14" s="741">
        <f t="shared" si="0"/>
        <v>0</v>
      </c>
      <c r="M14" s="741">
        <f>'Расчет участников НИР'!H24</f>
        <v>0</v>
      </c>
      <c r="N14" s="734"/>
      <c r="O14" s="747" t="e">
        <f t="shared" si="5"/>
        <v>#DIV/0!</v>
      </c>
      <c r="P14" s="747" t="e">
        <f t="shared" si="5"/>
        <v>#DIV/0!</v>
      </c>
      <c r="Q14" s="747" t="e">
        <f t="shared" si="5"/>
        <v>#DIV/0!</v>
      </c>
      <c r="R14" s="747" t="e">
        <f t="shared" si="5"/>
        <v>#DIV/0!</v>
      </c>
      <c r="S14" s="734"/>
      <c r="T14" s="734"/>
    </row>
    <row r="15" spans="1:21" x14ac:dyDescent="0.25">
      <c r="A15" s="745">
        <f>'Состав ВТК'!B18</f>
        <v>0</v>
      </c>
      <c r="B15" s="739">
        <f>'Состав ВТК'!L18</f>
        <v>0</v>
      </c>
      <c r="C15" s="739">
        <f>'Состав ВТК'!M18</f>
        <v>0</v>
      </c>
      <c r="D15" s="746" t="b">
        <f t="shared" si="1"/>
        <v>0</v>
      </c>
      <c r="E15" s="746" t="b">
        <f t="shared" si="2"/>
        <v>0</v>
      </c>
      <c r="F15" s="746" t="b">
        <f t="shared" si="3"/>
        <v>0</v>
      </c>
      <c r="G15" s="746" t="b">
        <f t="shared" si="4"/>
        <v>0</v>
      </c>
      <c r="H15" s="741">
        <f>IF(D15=TRUE,IF(E15=FALSE,'Расчет участников НИР'!$H25*(50%/1),IF(AND(E15=TRUE,F15=TRUE,G15=TRUE),'Расчет участников НИР'!$H25*'счеталка премий'!$T$6,IF(AND(E15=TRUE,F15=TRUE),'Расчет участников НИР'!$H25*(50%/3),'Расчет участников НИР'!$H25*(50%/2)))),0)</f>
        <v>0</v>
      </c>
      <c r="I15" s="741">
        <f>IF(E15=TRUE,IF(D15=FALSE,'Расчет участников НИР'!$H25*(10%),IF(F15=FALSE,'Расчет участников НИР'!$H25*(50%/2),IF(AND(F15=TRUE,G15=TRUE),'Расчет участников НИР'!$H25*'счеталка премий'!$T$6,'Расчет участников НИР'!$H25*(50%/3)))),0)</f>
        <v>0</v>
      </c>
      <c r="J15" s="741">
        <f>IF(F15=TRUE,IF(AND(D15=FALSE,E15=FALSE),'Расчет участников НИР'!$H25*(20%),IF(D15=FALSE,'Расчет участников НИР'!$H25*(10%),IF(G15=FALSE,'Расчет участников НИР'!$H25*(50%/3),'Расчет участников НИР'!$H25*'счеталка премий'!$T$6))),0)</f>
        <v>0</v>
      </c>
      <c r="K15" s="741">
        <f>IF(G15=TRUE,IF(AND(D15=FALSE,E15=FALSE,F15=FALSE),'Расчет участников НИР'!$H25*(50%),'Расчет участников НИР'!$H25*'счеталка премий'!$T$7),0)</f>
        <v>0</v>
      </c>
      <c r="L15" s="741">
        <f t="shared" si="0"/>
        <v>0</v>
      </c>
      <c r="M15" s="741">
        <f>'Расчет участников НИР'!H25</f>
        <v>0</v>
      </c>
      <c r="N15" s="734"/>
      <c r="O15" s="747" t="e">
        <f t="shared" si="5"/>
        <v>#DIV/0!</v>
      </c>
      <c r="P15" s="747" t="e">
        <f t="shared" si="5"/>
        <v>#DIV/0!</v>
      </c>
      <c r="Q15" s="747" t="e">
        <f t="shared" si="5"/>
        <v>#DIV/0!</v>
      </c>
      <c r="R15" s="747" t="e">
        <f t="shared" si="5"/>
        <v>#DIV/0!</v>
      </c>
      <c r="S15" s="734"/>
      <c r="T15" s="734"/>
    </row>
    <row r="16" spans="1:21" x14ac:dyDescent="0.25">
      <c r="A16" s="745">
        <f>'Состав ВТК'!B19</f>
        <v>0</v>
      </c>
      <c r="B16" s="739">
        <f>'Состав ВТК'!L19</f>
        <v>0</v>
      </c>
      <c r="C16" s="739">
        <f>'Состав ВТК'!M19</f>
        <v>0</v>
      </c>
      <c r="D16" s="746" t="b">
        <f t="shared" si="1"/>
        <v>0</v>
      </c>
      <c r="E16" s="746" t="b">
        <f t="shared" si="2"/>
        <v>0</v>
      </c>
      <c r="F16" s="746" t="b">
        <f t="shared" si="3"/>
        <v>0</v>
      </c>
      <c r="G16" s="746" t="b">
        <f t="shared" si="4"/>
        <v>0</v>
      </c>
      <c r="H16" s="741">
        <f>IF(D16=TRUE,IF(E16=FALSE,'Расчет участников НИР'!$H26*(50%/1),IF(AND(E16=TRUE,F16=TRUE,G16=TRUE),'Расчет участников НИР'!$H26*'счеталка премий'!$T$6,IF(AND(E16=TRUE,F16=TRUE),'Расчет участников НИР'!$H26*(50%/3),'Расчет участников НИР'!$H26*(50%/2)))),0)</f>
        <v>0</v>
      </c>
      <c r="I16" s="741">
        <f>IF(E16=TRUE,IF(D16=FALSE,'Расчет участников НИР'!$H26*(10%),IF(F16=FALSE,'Расчет участников НИР'!$H26*(50%/2),IF(AND(F16=TRUE,G16=TRUE),'Расчет участников НИР'!$H26*'счеталка премий'!$T$6,'Расчет участников НИР'!$H26*(50%/3)))),0)</f>
        <v>0</v>
      </c>
      <c r="J16" s="741">
        <f>IF(F16=TRUE,IF(AND(D16=FALSE,E16=FALSE),'Расчет участников НИР'!$H26*(20%),IF(D16=FALSE,'Расчет участников НИР'!$H26*(10%),IF(G16=FALSE,'Расчет участников НИР'!$H26*(50%/3),'Расчет участников НИР'!$H26*'счеталка премий'!$T$6))),0)</f>
        <v>0</v>
      </c>
      <c r="K16" s="741">
        <f>IF(G16=TRUE,IF(AND(D16=FALSE,E16=FALSE,F16=FALSE),'Расчет участников НИР'!$H26*(50%),'Расчет участников НИР'!$H26*'счеталка премий'!$T$7),0)</f>
        <v>0</v>
      </c>
      <c r="L16" s="741">
        <f t="shared" si="0"/>
        <v>0</v>
      </c>
      <c r="M16" s="741">
        <f>'Расчет участников НИР'!H26</f>
        <v>0</v>
      </c>
      <c r="N16" s="734"/>
      <c r="O16" s="747" t="e">
        <f t="shared" si="5"/>
        <v>#DIV/0!</v>
      </c>
      <c r="P16" s="747" t="e">
        <f t="shared" si="5"/>
        <v>#DIV/0!</v>
      </c>
      <c r="Q16" s="747" t="e">
        <f t="shared" si="5"/>
        <v>#DIV/0!</v>
      </c>
      <c r="R16" s="747" t="e">
        <f t="shared" si="5"/>
        <v>#DIV/0!</v>
      </c>
      <c r="S16" s="734"/>
      <c r="T16" s="734"/>
    </row>
    <row r="17" spans="1:20" x14ac:dyDescent="0.25">
      <c r="A17" s="745">
        <f>'Состав ВТК'!B20</f>
        <v>0</v>
      </c>
      <c r="B17" s="739">
        <f>'Состав ВТК'!L20</f>
        <v>0</v>
      </c>
      <c r="C17" s="739">
        <f>'Состав ВТК'!M20</f>
        <v>0</v>
      </c>
      <c r="D17" s="746" t="b">
        <f t="shared" si="1"/>
        <v>0</v>
      </c>
      <c r="E17" s="746" t="b">
        <f t="shared" si="2"/>
        <v>0</v>
      </c>
      <c r="F17" s="746" t="b">
        <f t="shared" si="3"/>
        <v>0</v>
      </c>
      <c r="G17" s="746" t="b">
        <f t="shared" si="4"/>
        <v>0</v>
      </c>
      <c r="H17" s="741">
        <f>IF(D17=TRUE,IF(E17=FALSE,'Расчет участников НИР'!$H27*(50%/1),IF(AND(E17=TRUE,F17=TRUE,G17=TRUE),'Расчет участников НИР'!$H27*'счеталка премий'!$T$6,IF(AND(E17=TRUE,F17=TRUE),'Расчет участников НИР'!$H27*(50%/3),'Расчет участников НИР'!$H27*(50%/2)))),0)</f>
        <v>0</v>
      </c>
      <c r="I17" s="741">
        <f>IF(E17=TRUE,IF(D17=FALSE,'Расчет участников НИР'!$H27*(10%),IF(F17=FALSE,'Расчет участников НИР'!$H27*(50%/2),IF(AND(F17=TRUE,G17=TRUE),'Расчет участников НИР'!$H27*'счеталка премий'!$T$6,'Расчет участников НИР'!$H27*(50%/3)))),0)</f>
        <v>0</v>
      </c>
      <c r="J17" s="741">
        <f>IF(F17=TRUE,IF(AND(D17=FALSE,E17=FALSE),'Расчет участников НИР'!$H27*(20%),IF(D17=FALSE,'Расчет участников НИР'!$H27*(10%),IF(G17=FALSE,'Расчет участников НИР'!$H27*(50%/3),'Расчет участников НИР'!$H27*'счеталка премий'!$T$6))),0)</f>
        <v>0</v>
      </c>
      <c r="K17" s="741">
        <f>IF(G17=TRUE,IF(AND(D17=FALSE,E17=FALSE,F17=FALSE),'Расчет участников НИР'!$H27*(50%),'Расчет участников НИР'!$H27*'счеталка премий'!$T$7),0)</f>
        <v>0</v>
      </c>
      <c r="L17" s="741">
        <f t="shared" si="0"/>
        <v>0</v>
      </c>
      <c r="M17" s="741">
        <f>'Расчет участников НИР'!H27</f>
        <v>0</v>
      </c>
      <c r="N17" s="734"/>
      <c r="O17" s="747" t="e">
        <f t="shared" si="5"/>
        <v>#DIV/0!</v>
      </c>
      <c r="P17" s="747" t="e">
        <f t="shared" si="5"/>
        <v>#DIV/0!</v>
      </c>
      <c r="Q17" s="747" t="e">
        <f t="shared" si="5"/>
        <v>#DIV/0!</v>
      </c>
      <c r="R17" s="747" t="e">
        <f t="shared" si="5"/>
        <v>#DIV/0!</v>
      </c>
      <c r="S17" s="734"/>
      <c r="T17" s="734"/>
    </row>
    <row r="18" spans="1:20" x14ac:dyDescent="0.25">
      <c r="A18" s="745">
        <f>'Состав ВТК'!B21</f>
        <v>0</v>
      </c>
      <c r="B18" s="739">
        <f>'Состав ВТК'!L21</f>
        <v>0</v>
      </c>
      <c r="C18" s="739">
        <f>'Состав ВТК'!M21</f>
        <v>0</v>
      </c>
      <c r="D18" s="746" t="b">
        <f t="shared" si="1"/>
        <v>0</v>
      </c>
      <c r="E18" s="746" t="b">
        <f t="shared" si="2"/>
        <v>0</v>
      </c>
      <c r="F18" s="746" t="b">
        <f t="shared" si="3"/>
        <v>0</v>
      </c>
      <c r="G18" s="746" t="b">
        <f t="shared" si="4"/>
        <v>0</v>
      </c>
      <c r="H18" s="741">
        <f>IF(D18=TRUE,IF(E18=FALSE,'Расчет участников НИР'!$H28*(50%/1),IF(AND(E18=TRUE,F18=TRUE,G18=TRUE),'Расчет участников НИР'!$H28*'счеталка премий'!$T$6,IF(AND(E18=TRUE,F18=TRUE),'Расчет участников НИР'!$H28*(50%/3),'Расчет участников НИР'!$H28*(50%/2)))),0)</f>
        <v>0</v>
      </c>
      <c r="I18" s="741">
        <f>IF(E18=TRUE,IF(D18=FALSE,'Расчет участников НИР'!$H28*(10%),IF(F18=FALSE,'Расчет участников НИР'!$H28*(50%/2),IF(AND(F18=TRUE,G18=TRUE),'Расчет участников НИР'!$H28*'счеталка премий'!$T$6,'Расчет участников НИР'!$H28*(50%/3)))),0)</f>
        <v>0</v>
      </c>
      <c r="J18" s="741">
        <f>IF(F18=TRUE,IF(AND(D18=FALSE,E18=FALSE),'Расчет участников НИР'!$H28*(20%),IF(D18=FALSE,'Расчет участников НИР'!$H28*(10%),IF(G18=FALSE,'Расчет участников НИР'!$H28*(50%/3),'Расчет участников НИР'!$H28*'счеталка премий'!$T$6))),0)</f>
        <v>0</v>
      </c>
      <c r="K18" s="741">
        <f>IF(G18=TRUE,IF(AND(D18=FALSE,E18=FALSE,F18=FALSE),'Расчет участников НИР'!$H28*(50%),'Расчет участников НИР'!$H28*'счеталка премий'!$T$7),0)</f>
        <v>0</v>
      </c>
      <c r="L18" s="741">
        <f t="shared" si="0"/>
        <v>0</v>
      </c>
      <c r="M18" s="741">
        <f>'Расчет участников НИР'!H28</f>
        <v>0</v>
      </c>
      <c r="N18" s="734"/>
      <c r="O18" s="747" t="e">
        <f t="shared" si="5"/>
        <v>#DIV/0!</v>
      </c>
      <c r="P18" s="747" t="e">
        <f t="shared" si="5"/>
        <v>#DIV/0!</v>
      </c>
      <c r="Q18" s="747" t="e">
        <f t="shared" si="5"/>
        <v>#DIV/0!</v>
      </c>
      <c r="R18" s="747" t="e">
        <f t="shared" si="5"/>
        <v>#DIV/0!</v>
      </c>
      <c r="S18" s="734"/>
      <c r="T18" s="734"/>
    </row>
    <row r="19" spans="1:20" x14ac:dyDescent="0.25">
      <c r="A19" s="745">
        <f>'Состав ВТК'!B22</f>
        <v>0</v>
      </c>
      <c r="B19" s="739">
        <f>'Состав ВТК'!L22</f>
        <v>0</v>
      </c>
      <c r="C19" s="739">
        <f>'Состав ВТК'!M22</f>
        <v>0</v>
      </c>
      <c r="D19" s="746" t="b">
        <f t="shared" si="1"/>
        <v>0</v>
      </c>
      <c r="E19" s="746" t="b">
        <f t="shared" si="2"/>
        <v>0</v>
      </c>
      <c r="F19" s="746" t="b">
        <f t="shared" si="3"/>
        <v>0</v>
      </c>
      <c r="G19" s="746" t="b">
        <f t="shared" si="4"/>
        <v>0</v>
      </c>
      <c r="H19" s="741">
        <f>IF(D19=TRUE,IF(E19=FALSE,'Расчет участников НИР'!$H29*(50%/1),IF(AND(E19=TRUE,F19=TRUE,G19=TRUE),'Расчет участников НИР'!$H29*'счеталка премий'!$T$6,IF(AND(E19=TRUE,F19=TRUE),'Расчет участников НИР'!$H29*(50%/3),'Расчет участников НИР'!$H29*(50%/2)))),0)</f>
        <v>0</v>
      </c>
      <c r="I19" s="741">
        <f>IF(E19=TRUE,IF(D19=FALSE,'Расчет участников НИР'!$H29*(10%),IF(F19=FALSE,'Расчет участников НИР'!$H29*(50%/2),IF(AND(F19=TRUE,G19=TRUE),'Расчет участников НИР'!$H29*'счеталка премий'!$T$6,'Расчет участников НИР'!$H29*(50%/3)))),0)</f>
        <v>0</v>
      </c>
      <c r="J19" s="741">
        <f>IF(F19=TRUE,IF(AND(D19=FALSE,E19=FALSE),'Расчет участников НИР'!$H29*(20%),IF(D19=FALSE,'Расчет участников НИР'!$H29*(10%),IF(G19=FALSE,'Расчет участников НИР'!$H29*(50%/3),'Расчет участников НИР'!$H29*'счеталка премий'!$T$6))),0)</f>
        <v>0</v>
      </c>
      <c r="K19" s="741">
        <f>IF(G19=TRUE,IF(AND(D19=FALSE,E19=FALSE,F19=FALSE),'Расчет участников НИР'!$H29*(50%),'Расчет участников НИР'!$H29*'счеталка премий'!$T$7),0)</f>
        <v>0</v>
      </c>
      <c r="L19" s="741">
        <f t="shared" si="0"/>
        <v>0</v>
      </c>
      <c r="M19" s="741">
        <f>'Расчет участников НИР'!H29</f>
        <v>0</v>
      </c>
      <c r="N19" s="734"/>
      <c r="O19" s="747" t="e">
        <f t="shared" si="5"/>
        <v>#DIV/0!</v>
      </c>
      <c r="P19" s="747" t="e">
        <f t="shared" si="5"/>
        <v>#DIV/0!</v>
      </c>
      <c r="Q19" s="747" t="e">
        <f t="shared" si="5"/>
        <v>#DIV/0!</v>
      </c>
      <c r="R19" s="747" t="e">
        <f t="shared" si="5"/>
        <v>#DIV/0!</v>
      </c>
      <c r="S19" s="734"/>
      <c r="T19" s="734"/>
    </row>
    <row r="20" spans="1:20" x14ac:dyDescent="0.25">
      <c r="A20" s="745">
        <f>'Состав ВТК'!B23</f>
        <v>0</v>
      </c>
      <c r="B20" s="739">
        <f>'Состав ВТК'!L23</f>
        <v>0</v>
      </c>
      <c r="C20" s="739">
        <f>'Состав ВТК'!M23</f>
        <v>0</v>
      </c>
      <c r="D20" s="746" t="b">
        <f t="shared" si="1"/>
        <v>0</v>
      </c>
      <c r="E20" s="746" t="b">
        <f t="shared" si="2"/>
        <v>0</v>
      </c>
      <c r="F20" s="746" t="b">
        <f t="shared" si="3"/>
        <v>0</v>
      </c>
      <c r="G20" s="746" t="b">
        <f t="shared" si="4"/>
        <v>0</v>
      </c>
      <c r="H20" s="741">
        <f>IF(D20=TRUE,IF(E20=FALSE,'Расчет участников НИР'!$H30*(50%/1),IF(AND(E20=TRUE,F20=TRUE,G20=TRUE),'Расчет участников НИР'!$H30*'счеталка премий'!$T$6,IF(AND(E20=TRUE,F20=TRUE),'Расчет участников НИР'!$H30*(50%/3),'Расчет участников НИР'!$H30*(50%/2)))),0)</f>
        <v>0</v>
      </c>
      <c r="I20" s="741">
        <f>IF(E20=TRUE,IF(D20=FALSE,'Расчет участников НИР'!$H30*(10%),IF(F20=FALSE,'Расчет участников НИР'!$H30*(50%/2),IF(AND(F20=TRUE,G20=TRUE),'Расчет участников НИР'!$H30*'счеталка премий'!$T$6,'Расчет участников НИР'!$H30*(50%/3)))),0)</f>
        <v>0</v>
      </c>
      <c r="J20" s="741">
        <f>IF(F20=TRUE,IF(AND(D20=FALSE,E20=FALSE),'Расчет участников НИР'!$H30*(20%),IF(D20=FALSE,'Расчет участников НИР'!$H30*(10%),IF(G20=FALSE,'Расчет участников НИР'!$H30*(50%/3),'Расчет участников НИР'!$H30*'счеталка премий'!$T$6))),0)</f>
        <v>0</v>
      </c>
      <c r="K20" s="741">
        <f>IF(G20=TRUE,IF(AND(D20=FALSE,E20=FALSE,F20=FALSE),'Расчет участников НИР'!$H30*(50%),'Расчет участников НИР'!$H30*'счеталка премий'!$T$7),0)</f>
        <v>0</v>
      </c>
      <c r="L20" s="741">
        <f t="shared" si="0"/>
        <v>0</v>
      </c>
      <c r="M20" s="741">
        <f>'Расчет участников НИР'!H30</f>
        <v>0</v>
      </c>
      <c r="N20" s="734"/>
      <c r="O20" s="747" t="e">
        <f t="shared" si="5"/>
        <v>#DIV/0!</v>
      </c>
      <c r="P20" s="747" t="e">
        <f t="shared" si="5"/>
        <v>#DIV/0!</v>
      </c>
      <c r="Q20" s="747" t="e">
        <f t="shared" si="5"/>
        <v>#DIV/0!</v>
      </c>
      <c r="R20" s="747" t="e">
        <f t="shared" si="5"/>
        <v>#DIV/0!</v>
      </c>
      <c r="S20" s="734"/>
      <c r="T20" s="734"/>
    </row>
    <row r="21" spans="1:20" x14ac:dyDescent="0.25">
      <c r="A21" s="745">
        <f>'Состав ВТК'!B24</f>
        <v>0</v>
      </c>
      <c r="B21" s="739">
        <f>'Состав ВТК'!L24</f>
        <v>0</v>
      </c>
      <c r="C21" s="739">
        <f>'Состав ВТК'!M24</f>
        <v>0</v>
      </c>
      <c r="D21" s="746" t="b">
        <f t="shared" si="1"/>
        <v>0</v>
      </c>
      <c r="E21" s="746" t="b">
        <f t="shared" si="2"/>
        <v>0</v>
      </c>
      <c r="F21" s="746" t="b">
        <f t="shared" si="3"/>
        <v>0</v>
      </c>
      <c r="G21" s="746" t="b">
        <f t="shared" si="4"/>
        <v>0</v>
      </c>
      <c r="H21" s="741">
        <f>IF(D21=TRUE,IF(E21=FALSE,'Расчет участников НИР'!$H31*(50%/1),IF(AND(E21=TRUE,F21=TRUE,G21=TRUE),'Расчет участников НИР'!$H31*'счеталка премий'!$T$6,IF(AND(E21=TRUE,F21=TRUE),'Расчет участников НИР'!$H31*(50%/3),'Расчет участников НИР'!$H31*(50%/2)))),0)</f>
        <v>0</v>
      </c>
      <c r="I21" s="741">
        <f>IF(E21=TRUE,IF(D21=FALSE,'Расчет участников НИР'!$H31*(10%),IF(F21=FALSE,'Расчет участников НИР'!$H31*(50%/2),IF(AND(F21=TRUE,G21=TRUE),'Расчет участников НИР'!$H31*'счеталка премий'!$T$6,'Расчет участников НИР'!$H31*(50%/3)))),0)</f>
        <v>0</v>
      </c>
      <c r="J21" s="741">
        <f>IF(F21=TRUE,IF(AND(D21=FALSE,E21=FALSE),'Расчет участников НИР'!$H31*(20%),IF(D21=FALSE,'Расчет участников НИР'!$H31*(10%),IF(G21=FALSE,'Расчет участников НИР'!$H31*(50%/3),'Расчет участников НИР'!$H31*'счеталка премий'!$T$6))),0)</f>
        <v>0</v>
      </c>
      <c r="K21" s="741">
        <f>IF(G21=TRUE,IF(AND(D21=FALSE,E21=FALSE,F21=FALSE),'Расчет участников НИР'!$H31*(50%),'Расчет участников НИР'!$H31*'счеталка премий'!$T$7),0)</f>
        <v>0</v>
      </c>
      <c r="L21" s="741">
        <f t="shared" si="0"/>
        <v>0</v>
      </c>
      <c r="M21" s="741">
        <f>'Расчет участников НИР'!H31</f>
        <v>0</v>
      </c>
      <c r="N21" s="734"/>
      <c r="O21" s="747" t="e">
        <f t="shared" si="5"/>
        <v>#DIV/0!</v>
      </c>
      <c r="P21" s="747" t="e">
        <f t="shared" si="5"/>
        <v>#DIV/0!</v>
      </c>
      <c r="Q21" s="747" t="e">
        <f t="shared" si="5"/>
        <v>#DIV/0!</v>
      </c>
      <c r="R21" s="747" t="e">
        <f t="shared" si="5"/>
        <v>#DIV/0!</v>
      </c>
      <c r="S21" s="734"/>
      <c r="T21" s="734"/>
    </row>
    <row r="22" spans="1:20" x14ac:dyDescent="0.25">
      <c r="A22" s="745">
        <f>'Состав ВТК'!B25</f>
        <v>0</v>
      </c>
      <c r="B22" s="739">
        <f>'Состав ВТК'!L25</f>
        <v>0</v>
      </c>
      <c r="C22" s="739">
        <f>'Состав ВТК'!M25</f>
        <v>0</v>
      </c>
      <c r="D22" s="746" t="b">
        <f t="shared" si="1"/>
        <v>0</v>
      </c>
      <c r="E22" s="746" t="b">
        <f t="shared" si="2"/>
        <v>0</v>
      </c>
      <c r="F22" s="746" t="b">
        <f t="shared" si="3"/>
        <v>0</v>
      </c>
      <c r="G22" s="746" t="b">
        <f t="shared" si="4"/>
        <v>0</v>
      </c>
      <c r="H22" s="741">
        <f>IF(D22=TRUE,IF(E22=FALSE,'Расчет участников НИР'!$H32*(50%/1),IF(AND(E22=TRUE,F22=TRUE,G22=TRUE),'Расчет участников НИР'!$H32*'счеталка премий'!$T$6,IF(AND(E22=TRUE,F22=TRUE),'Расчет участников НИР'!$H32*(50%/3),'Расчет участников НИР'!$H32*(50%/2)))),0)</f>
        <v>0</v>
      </c>
      <c r="I22" s="741">
        <f>IF(E22=TRUE,IF(D22=FALSE,'Расчет участников НИР'!$H32*(10%),IF(F22=FALSE,'Расчет участников НИР'!$H32*(50%/2),IF(AND(F22=TRUE,G22=TRUE),'Расчет участников НИР'!$H32*'счеталка премий'!$T$6,'Расчет участников НИР'!$H32*(50%/3)))),0)</f>
        <v>0</v>
      </c>
      <c r="J22" s="741">
        <f>IF(F22=TRUE,IF(AND(D22=FALSE,E22=FALSE),'Расчет участников НИР'!$H32*(20%),IF(D22=FALSE,'Расчет участников НИР'!$H32*(10%),IF(G22=FALSE,'Расчет участников НИР'!$H32*(50%/3),'Расчет участников НИР'!$H32*'счеталка премий'!$T$6))),0)</f>
        <v>0</v>
      </c>
      <c r="K22" s="741">
        <f>IF(G22=TRUE,IF(AND(D22=FALSE,E22=FALSE,F22=FALSE),'Расчет участников НИР'!$H32*(50%),'Расчет участников НИР'!$H32*'счеталка премий'!$T$7),0)</f>
        <v>0</v>
      </c>
      <c r="L22" s="741">
        <f t="shared" si="0"/>
        <v>0</v>
      </c>
      <c r="M22" s="741">
        <f>'Расчет участников НИР'!H32</f>
        <v>0</v>
      </c>
      <c r="N22" s="734"/>
      <c r="O22" s="747" t="e">
        <f t="shared" si="5"/>
        <v>#DIV/0!</v>
      </c>
      <c r="P22" s="747" t="e">
        <f t="shared" si="5"/>
        <v>#DIV/0!</v>
      </c>
      <c r="Q22" s="747" t="e">
        <f t="shared" si="5"/>
        <v>#DIV/0!</v>
      </c>
      <c r="R22" s="747" t="e">
        <f t="shared" si="5"/>
        <v>#DIV/0!</v>
      </c>
      <c r="S22" s="734"/>
      <c r="T22" s="734"/>
    </row>
    <row r="23" spans="1:20" x14ac:dyDescent="0.25">
      <c r="A23" s="745">
        <f>'Состав ВТК'!B26</f>
        <v>0</v>
      </c>
      <c r="B23" s="739">
        <f>IF('Состав ВТК'!L26="",'Состав ВТК'!P26,'Состав ВТК'!L26)</f>
        <v>0</v>
      </c>
      <c r="C23" s="739">
        <f>IF('Состав ВТК'!M26="",'Состав ВТК'!Q26,'Состав ВТК'!M26)</f>
        <v>0</v>
      </c>
      <c r="D23" s="746" t="b">
        <f t="shared" si="1"/>
        <v>0</v>
      </c>
      <c r="E23" s="746" t="b">
        <f t="shared" si="2"/>
        <v>0</v>
      </c>
      <c r="F23" s="746" t="b">
        <f t="shared" si="3"/>
        <v>0</v>
      </c>
      <c r="G23" s="746" t="b">
        <f t="shared" si="4"/>
        <v>0</v>
      </c>
      <c r="H23" s="741">
        <f>IF(D23=TRUE,IF(E23=FALSE,'Расчет участников НИР'!$H33*(50%/1),IF(AND(E23=TRUE,F23=TRUE,G23=TRUE),'Расчет участников НИР'!$H33*'счеталка премий'!$T$6,IF(AND(E23=TRUE,F23=TRUE),'Расчет участников НИР'!$H33*(50%/3),'Расчет участников НИР'!$H33*(50%/2)))),0)</f>
        <v>0</v>
      </c>
      <c r="I23" s="741">
        <f>IF(E23=TRUE,IF(D23=FALSE,'Расчет участников НИР'!$H33*(10%),IF(F23=FALSE,'Расчет участников НИР'!$H33*(50%/2),IF(AND(F23=TRUE,G23=TRUE),'Расчет участников НИР'!$H33*'счеталка премий'!$T$6,'Расчет участников НИР'!$H33*(50%/3)))),0)</f>
        <v>0</v>
      </c>
      <c r="J23" s="741">
        <f>IF(F23=TRUE,IF(AND(D23=FALSE,E23=FALSE),'Расчет участников НИР'!$H33*(20%),IF(D23=FALSE,'Расчет участников НИР'!$H33*(10%),IF(G23=FALSE,'Расчет участников НИР'!$H33*(50%/3),'Расчет участников НИР'!$H33*'счеталка премий'!$T$6))),0)</f>
        <v>0</v>
      </c>
      <c r="K23" s="741">
        <f>IF(G23=TRUE,IF(AND(D23=FALSE,E23=FALSE,F23=FALSE),'Расчет участников НИР'!$H33*(50%),'Расчет участников НИР'!$H33*'счеталка премий'!$T$7),0)</f>
        <v>0</v>
      </c>
      <c r="L23" s="741">
        <f t="shared" ref="L23" si="6">SUM(H23:K23)</f>
        <v>0</v>
      </c>
      <c r="M23" s="741">
        <f>'Расчет участников НИР'!H33</f>
        <v>0</v>
      </c>
      <c r="N23" s="734"/>
      <c r="O23" s="747" t="e">
        <f t="shared" si="5"/>
        <v>#DIV/0!</v>
      </c>
      <c r="P23" s="747" t="e">
        <f t="shared" si="5"/>
        <v>#DIV/0!</v>
      </c>
      <c r="Q23" s="747" t="e">
        <f t="shared" si="5"/>
        <v>#DIV/0!</v>
      </c>
      <c r="R23" s="747" t="e">
        <f t="shared" si="5"/>
        <v>#DIV/0!</v>
      </c>
      <c r="S23" s="734"/>
      <c r="T23" s="734"/>
    </row>
    <row r="24" spans="1:20" x14ac:dyDescent="0.25">
      <c r="A24" s="745">
        <f>'Состав ВТК'!B27</f>
        <v>0</v>
      </c>
      <c r="B24" s="739">
        <f>'Состав ВТК'!L27</f>
        <v>0</v>
      </c>
      <c r="C24" s="739">
        <f>'Состав ВТК'!M27</f>
        <v>0</v>
      </c>
      <c r="D24" s="746" t="b">
        <f t="shared" si="1"/>
        <v>0</v>
      </c>
      <c r="E24" s="746" t="b">
        <f t="shared" si="2"/>
        <v>0</v>
      </c>
      <c r="F24" s="746" t="b">
        <f t="shared" si="3"/>
        <v>0</v>
      </c>
      <c r="G24" s="746" t="b">
        <f t="shared" si="4"/>
        <v>0</v>
      </c>
      <c r="H24" s="741">
        <f>IF(D24=TRUE,IF(E24=FALSE,'Расчет участников НИР'!$H34*(50%/1),IF(AND(E24=TRUE,F24=TRUE,G24=TRUE),'Расчет участников НИР'!$H34*'счеталка премий'!$T$6,IF(AND(E24=TRUE,F24=TRUE),'Расчет участников НИР'!$H34*(50%/3),'Расчет участников НИР'!$H34*(50%/2)))),0)</f>
        <v>0</v>
      </c>
      <c r="I24" s="741">
        <f>IF(E24=TRUE,IF(D24=FALSE,'Расчет участников НИР'!$H34*(10%),IF(F24=FALSE,'Расчет участников НИР'!$H34*(50%/2),IF(AND(F24=TRUE,G24=TRUE),'Расчет участников НИР'!$H34*'счеталка премий'!$T$6,'Расчет участников НИР'!$H34*(50%/3)))),0)</f>
        <v>0</v>
      </c>
      <c r="J24" s="741">
        <f>IF(F24=TRUE,IF(AND(D24=FALSE,E24=FALSE),'Расчет участников НИР'!$H34*(20%),IF(D24=FALSE,'Расчет участников НИР'!$H34*(10%),IF(G24=FALSE,'Расчет участников НИР'!$H34*(50%/3),'Расчет участников НИР'!$H34*'счеталка премий'!$T$6))),0)</f>
        <v>0</v>
      </c>
      <c r="K24" s="741">
        <f>IF(G24=TRUE,IF(AND(D24=FALSE,E24=FALSE,F24=FALSE),'Расчет участников НИР'!$H34*(50%),'Расчет участников НИР'!$H34*'счеталка премий'!$T$7),0)</f>
        <v>0</v>
      </c>
      <c r="L24" s="741">
        <f t="shared" ref="L24:L87" si="7">SUM(H24:K24)</f>
        <v>0</v>
      </c>
      <c r="M24" s="741">
        <f>'Расчет участников НИР'!H34</f>
        <v>0</v>
      </c>
      <c r="N24" s="734"/>
      <c r="O24" s="747" t="e">
        <f t="shared" si="5"/>
        <v>#DIV/0!</v>
      </c>
      <c r="P24" s="747" t="e">
        <f t="shared" si="5"/>
        <v>#DIV/0!</v>
      </c>
      <c r="Q24" s="747" t="e">
        <f t="shared" si="5"/>
        <v>#DIV/0!</v>
      </c>
      <c r="R24" s="747" t="e">
        <f t="shared" si="5"/>
        <v>#DIV/0!</v>
      </c>
      <c r="S24" s="734"/>
      <c r="T24" s="734"/>
    </row>
    <row r="25" spans="1:20" x14ac:dyDescent="0.25">
      <c r="A25" s="745">
        <f>'Состав ВТК'!B28</f>
        <v>0</v>
      </c>
      <c r="B25" s="739">
        <f>'Состав ВТК'!L28</f>
        <v>0</v>
      </c>
      <c r="C25" s="739">
        <f>'Состав ВТК'!M28</f>
        <v>0</v>
      </c>
      <c r="D25" s="746" t="b">
        <f t="shared" si="1"/>
        <v>0</v>
      </c>
      <c r="E25" s="746" t="b">
        <f t="shared" si="2"/>
        <v>0</v>
      </c>
      <c r="F25" s="746" t="b">
        <f t="shared" si="3"/>
        <v>0</v>
      </c>
      <c r="G25" s="746" t="b">
        <f t="shared" si="4"/>
        <v>0</v>
      </c>
      <c r="H25" s="741">
        <f>IF(D25=TRUE,IF(E25=FALSE,'Расчет участников НИР'!$H35*(50%/1),IF(AND(E25=TRUE,F25=TRUE,G25=TRUE),'Расчет участников НИР'!$H35*'счеталка премий'!$T$6,IF(AND(E25=TRUE,F25=TRUE),'Расчет участников НИР'!$H35*(50%/3),'Расчет участников НИР'!$H35*(50%/2)))),0)</f>
        <v>0</v>
      </c>
      <c r="I25" s="741">
        <f>IF(E25=TRUE,IF(D25=FALSE,'Расчет участников НИР'!$H35*(10%),IF(F25=FALSE,'Расчет участников НИР'!$H35*(50%/2),IF(AND(F25=TRUE,G25=TRUE),'Расчет участников НИР'!$H35*'счеталка премий'!$T$6,'Расчет участников НИР'!$H35*(50%/3)))),0)</f>
        <v>0</v>
      </c>
      <c r="J25" s="741">
        <f>IF(F25=TRUE,IF(AND(D25=FALSE,E25=FALSE),'Расчет участников НИР'!$H35*(20%),IF(D25=FALSE,'Расчет участников НИР'!$H35*(10%),IF(G25=FALSE,'Расчет участников НИР'!$H35*(50%/3),'Расчет участников НИР'!$H35*'счеталка премий'!$T$6))),0)</f>
        <v>0</v>
      </c>
      <c r="K25" s="741">
        <f>IF(G25=TRUE,IF(AND(D25=FALSE,E25=FALSE,F25=FALSE),'Расчет участников НИР'!$H35*(50%),'Расчет участников НИР'!$H35*'счеталка премий'!$T$7),0)</f>
        <v>0</v>
      </c>
      <c r="L25" s="741">
        <f t="shared" si="7"/>
        <v>0</v>
      </c>
      <c r="M25" s="741">
        <f>'Расчет участников НИР'!H35</f>
        <v>0</v>
      </c>
      <c r="N25" s="734"/>
      <c r="O25" s="747" t="e">
        <f t="shared" si="5"/>
        <v>#DIV/0!</v>
      </c>
      <c r="P25" s="747" t="e">
        <f t="shared" si="5"/>
        <v>#DIV/0!</v>
      </c>
      <c r="Q25" s="747" t="e">
        <f t="shared" si="5"/>
        <v>#DIV/0!</v>
      </c>
      <c r="R25" s="747" t="e">
        <f t="shared" si="5"/>
        <v>#DIV/0!</v>
      </c>
      <c r="S25" s="734"/>
      <c r="T25" s="734"/>
    </row>
    <row r="26" spans="1:20" x14ac:dyDescent="0.25">
      <c r="A26" s="745">
        <f>'Состав ВТК'!B29</f>
        <v>0</v>
      </c>
      <c r="B26" s="739">
        <f>'Состав ВТК'!L29</f>
        <v>0</v>
      </c>
      <c r="C26" s="739">
        <f>'Состав ВТК'!M29</f>
        <v>0</v>
      </c>
      <c r="D26" s="746" t="b">
        <f t="shared" si="1"/>
        <v>0</v>
      </c>
      <c r="E26" s="746" t="b">
        <f t="shared" si="2"/>
        <v>0</v>
      </c>
      <c r="F26" s="746" t="b">
        <f t="shared" si="3"/>
        <v>0</v>
      </c>
      <c r="G26" s="746" t="b">
        <f t="shared" si="4"/>
        <v>0</v>
      </c>
      <c r="H26" s="741">
        <f>IF(D26=TRUE,IF(E26=FALSE,'Расчет участников НИР'!$H36*(50%/1),IF(AND(E26=TRUE,F26=TRUE,G26=TRUE),'Расчет участников НИР'!$H36*'счеталка премий'!$T$6,IF(AND(E26=TRUE,F26=TRUE),'Расчет участников НИР'!$H36*(50%/3),'Расчет участников НИР'!$H36*(50%/2)))),0)</f>
        <v>0</v>
      </c>
      <c r="I26" s="741">
        <f>IF(E26=TRUE,IF(D26=FALSE,'Расчет участников НИР'!$H36*(10%),IF(F26=FALSE,'Расчет участников НИР'!$H36*(50%/2),IF(AND(F26=TRUE,G26=TRUE),'Расчет участников НИР'!$H36*'счеталка премий'!$T$6,'Расчет участников НИР'!$H36*(50%/3)))),0)</f>
        <v>0</v>
      </c>
      <c r="J26" s="741">
        <f>IF(F26=TRUE,IF(AND(D26=FALSE,E26=FALSE),'Расчет участников НИР'!$H36*(20%),IF(D26=FALSE,'Расчет участников НИР'!$H36*(10%),IF(G26=FALSE,'Расчет участников НИР'!$H36*(50%/3),'Расчет участников НИР'!$H36*'счеталка премий'!$T$6))),0)</f>
        <v>0</v>
      </c>
      <c r="K26" s="741">
        <f>IF(G26=TRUE,IF(AND(D26=FALSE,E26=FALSE,F26=FALSE),'Расчет участников НИР'!$H36*(50%),'Расчет участников НИР'!$H36*'счеталка премий'!$T$7),0)</f>
        <v>0</v>
      </c>
      <c r="L26" s="741">
        <f t="shared" si="7"/>
        <v>0</v>
      </c>
      <c r="M26" s="741">
        <f>'Расчет участников НИР'!H36</f>
        <v>0</v>
      </c>
      <c r="N26" s="734"/>
      <c r="O26" s="747" t="e">
        <f t="shared" si="5"/>
        <v>#DIV/0!</v>
      </c>
      <c r="P26" s="747" t="e">
        <f t="shared" si="5"/>
        <v>#DIV/0!</v>
      </c>
      <c r="Q26" s="747" t="e">
        <f t="shared" si="5"/>
        <v>#DIV/0!</v>
      </c>
      <c r="R26" s="747" t="e">
        <f t="shared" si="5"/>
        <v>#DIV/0!</v>
      </c>
      <c r="S26" s="734"/>
      <c r="T26" s="734"/>
    </row>
    <row r="27" spans="1:20" x14ac:dyDescent="0.25">
      <c r="A27" s="745">
        <f>'Состав ВТК'!B30</f>
        <v>0</v>
      </c>
      <c r="B27" s="739">
        <f>'Состав ВТК'!L30</f>
        <v>0</v>
      </c>
      <c r="C27" s="739">
        <f>'Состав ВТК'!M30</f>
        <v>0</v>
      </c>
      <c r="D27" s="746" t="b">
        <f t="shared" si="1"/>
        <v>0</v>
      </c>
      <c r="E27" s="746" t="b">
        <f t="shared" si="2"/>
        <v>0</v>
      </c>
      <c r="F27" s="746" t="b">
        <f t="shared" si="3"/>
        <v>0</v>
      </c>
      <c r="G27" s="746" t="b">
        <f t="shared" si="4"/>
        <v>0</v>
      </c>
      <c r="H27" s="741">
        <f>IF(D27=TRUE,IF(E27=FALSE,'Расчет участников НИР'!$H37*(50%/1),IF(AND(E27=TRUE,F27=TRUE,G27=TRUE),'Расчет участников НИР'!$H37*'счеталка премий'!$T$6,IF(AND(E27=TRUE,F27=TRUE),'Расчет участников НИР'!$H37*(50%/3),'Расчет участников НИР'!$H37*(50%/2)))),0)</f>
        <v>0</v>
      </c>
      <c r="I27" s="741">
        <f>IF(E27=TRUE,IF(D27=FALSE,'Расчет участников НИР'!$H37*(10%),IF(F27=FALSE,'Расчет участников НИР'!$H37*(50%/2),IF(AND(F27=TRUE,G27=TRUE),'Расчет участников НИР'!$H37*'счеталка премий'!$T$6,'Расчет участников НИР'!$H37*(50%/3)))),0)</f>
        <v>0</v>
      </c>
      <c r="J27" s="741">
        <f>IF(F27=TRUE,IF(AND(D27=FALSE,E27=FALSE),'Расчет участников НИР'!$H37*(20%),IF(D27=FALSE,'Расчет участников НИР'!$H37*(10%),IF(G27=FALSE,'Расчет участников НИР'!$H37*(50%/3),'Расчет участников НИР'!$H37*'счеталка премий'!$T$6))),0)</f>
        <v>0</v>
      </c>
      <c r="K27" s="741">
        <f>IF(G27=TRUE,IF(AND(D27=FALSE,E27=FALSE,F27=FALSE),'Расчет участников НИР'!$H37*(50%),'Расчет участников НИР'!$H37*'счеталка премий'!$T$7),0)</f>
        <v>0</v>
      </c>
      <c r="L27" s="741">
        <f t="shared" si="7"/>
        <v>0</v>
      </c>
      <c r="M27" s="741">
        <f>'Расчет участников НИР'!H37</f>
        <v>0</v>
      </c>
      <c r="N27" s="734"/>
      <c r="O27" s="747" t="e">
        <f t="shared" si="5"/>
        <v>#DIV/0!</v>
      </c>
      <c r="P27" s="747" t="e">
        <f t="shared" si="5"/>
        <v>#DIV/0!</v>
      </c>
      <c r="Q27" s="747" t="e">
        <f t="shared" si="5"/>
        <v>#DIV/0!</v>
      </c>
      <c r="R27" s="747" t="e">
        <f t="shared" si="5"/>
        <v>#DIV/0!</v>
      </c>
      <c r="S27" s="734"/>
      <c r="T27" s="734"/>
    </row>
    <row r="28" spans="1:20" x14ac:dyDescent="0.25">
      <c r="A28" s="745">
        <f>'Состав ВТК'!B31</f>
        <v>0</v>
      </c>
      <c r="B28" s="739">
        <f>'Состав ВТК'!L31</f>
        <v>0</v>
      </c>
      <c r="C28" s="739">
        <f>'Состав ВТК'!M31</f>
        <v>0</v>
      </c>
      <c r="D28" s="746" t="b">
        <f t="shared" si="1"/>
        <v>0</v>
      </c>
      <c r="E28" s="746" t="b">
        <f t="shared" si="2"/>
        <v>0</v>
      </c>
      <c r="F28" s="746" t="b">
        <f t="shared" si="3"/>
        <v>0</v>
      </c>
      <c r="G28" s="746" t="b">
        <f t="shared" si="4"/>
        <v>0</v>
      </c>
      <c r="H28" s="741">
        <f>IF(D28=TRUE,IF(E28=FALSE,'Расчет участников НИР'!$H38*(50%/1),IF(AND(E28=TRUE,F28=TRUE,G28=TRUE),'Расчет участников НИР'!$H38*'счеталка премий'!$T$6,IF(AND(E28=TRUE,F28=TRUE),'Расчет участников НИР'!$H38*(50%/3),'Расчет участников НИР'!$H38*(50%/2)))),0)</f>
        <v>0</v>
      </c>
      <c r="I28" s="741">
        <f>IF(E28=TRUE,IF(D28=FALSE,'Расчет участников НИР'!$H38*(10%),IF(F28=FALSE,'Расчет участников НИР'!$H38*(50%/2),IF(AND(F28=TRUE,G28=TRUE),'Расчет участников НИР'!$H38*'счеталка премий'!$T$6,'Расчет участников НИР'!$H38*(50%/3)))),0)</f>
        <v>0</v>
      </c>
      <c r="J28" s="741">
        <f>IF(F28=TRUE,IF(AND(D28=FALSE,E28=FALSE),'Расчет участников НИР'!$H38*(20%),IF(D28=FALSE,'Расчет участников НИР'!$H38*(10%),IF(G28=FALSE,'Расчет участников НИР'!$H38*(50%/3),'Расчет участников НИР'!$H38*'счеталка премий'!$T$6))),0)</f>
        <v>0</v>
      </c>
      <c r="K28" s="741">
        <f>IF(G28=TRUE,IF(AND(D28=FALSE,E28=FALSE,F28=FALSE),'Расчет участников НИР'!$H38*(50%),'Расчет участников НИР'!$H38*'счеталка премий'!$T$7),0)</f>
        <v>0</v>
      </c>
      <c r="L28" s="741">
        <f t="shared" si="7"/>
        <v>0</v>
      </c>
      <c r="M28" s="741">
        <f>'Расчет участников НИР'!H38</f>
        <v>0</v>
      </c>
      <c r="N28" s="734"/>
      <c r="O28" s="747" t="e">
        <f t="shared" si="5"/>
        <v>#DIV/0!</v>
      </c>
      <c r="P28" s="747" t="e">
        <f t="shared" si="5"/>
        <v>#DIV/0!</v>
      </c>
      <c r="Q28" s="747" t="e">
        <f t="shared" si="5"/>
        <v>#DIV/0!</v>
      </c>
      <c r="R28" s="747" t="e">
        <f t="shared" si="5"/>
        <v>#DIV/0!</v>
      </c>
      <c r="S28" s="734"/>
      <c r="T28" s="734"/>
    </row>
    <row r="29" spans="1:20" x14ac:dyDescent="0.25">
      <c r="A29" s="745">
        <f>'Состав ВТК'!B32</f>
        <v>0</v>
      </c>
      <c r="B29" s="739">
        <f>'Состав ВТК'!L32</f>
        <v>0</v>
      </c>
      <c r="C29" s="739">
        <f>'Состав ВТК'!M32</f>
        <v>0</v>
      </c>
      <c r="D29" s="746" t="b">
        <f t="shared" si="1"/>
        <v>0</v>
      </c>
      <c r="E29" s="746" t="b">
        <f t="shared" si="2"/>
        <v>0</v>
      </c>
      <c r="F29" s="746" t="b">
        <f t="shared" si="3"/>
        <v>0</v>
      </c>
      <c r="G29" s="746" t="b">
        <f t="shared" si="4"/>
        <v>0</v>
      </c>
      <c r="H29" s="741">
        <f>IF(D29=TRUE,IF(E29=FALSE,'Расчет участников НИР'!$H39*(50%/1),IF(AND(E29=TRUE,F29=TRUE,G29=TRUE),'Расчет участников НИР'!$H39*'счеталка премий'!$T$6,IF(AND(E29=TRUE,F29=TRUE),'Расчет участников НИР'!$H39*(50%/3),'Расчет участников НИР'!$H39*(50%/2)))),0)</f>
        <v>0</v>
      </c>
      <c r="I29" s="741">
        <f>IF(E29=TRUE,IF(D29=FALSE,'Расчет участников НИР'!$H39*(10%),IF(F29=FALSE,'Расчет участников НИР'!$H39*(50%/2),IF(AND(F29=TRUE,G29=TRUE),'Расчет участников НИР'!$H39*'счеталка премий'!$T$6,'Расчет участников НИР'!$H39*(50%/3)))),0)</f>
        <v>0</v>
      </c>
      <c r="J29" s="741">
        <f>IF(F29=TRUE,IF(AND(D29=FALSE,E29=FALSE),'Расчет участников НИР'!$H39*(20%),IF(D29=FALSE,'Расчет участников НИР'!$H39*(10%),IF(G29=FALSE,'Расчет участников НИР'!$H39*(50%/3),'Расчет участников НИР'!$H39*'счеталка премий'!$T$6))),0)</f>
        <v>0</v>
      </c>
      <c r="K29" s="741">
        <f>IF(G29=TRUE,IF(AND(D29=FALSE,E29=FALSE,F29=FALSE),'Расчет участников НИР'!$H39*(50%),'Расчет участников НИР'!$H39*'счеталка премий'!$T$7),0)</f>
        <v>0</v>
      </c>
      <c r="L29" s="741">
        <f t="shared" si="7"/>
        <v>0</v>
      </c>
      <c r="M29" s="741">
        <f>'Расчет участников НИР'!H39</f>
        <v>0</v>
      </c>
      <c r="N29" s="734"/>
      <c r="O29" s="747" t="e">
        <f t="shared" si="5"/>
        <v>#DIV/0!</v>
      </c>
      <c r="P29" s="747" t="e">
        <f t="shared" si="5"/>
        <v>#DIV/0!</v>
      </c>
      <c r="Q29" s="747" t="e">
        <f t="shared" si="5"/>
        <v>#DIV/0!</v>
      </c>
      <c r="R29" s="747" t="e">
        <f t="shared" si="5"/>
        <v>#DIV/0!</v>
      </c>
      <c r="S29" s="734"/>
      <c r="T29" s="734"/>
    </row>
    <row r="30" spans="1:20" x14ac:dyDescent="0.25">
      <c r="A30" s="745">
        <f>'Состав ВТК'!B33</f>
        <v>0</v>
      </c>
      <c r="B30" s="739">
        <f>'Состав ВТК'!L33</f>
        <v>0</v>
      </c>
      <c r="C30" s="739">
        <f>'Состав ВТК'!M33</f>
        <v>0</v>
      </c>
      <c r="D30" s="746" t="b">
        <f t="shared" si="1"/>
        <v>0</v>
      </c>
      <c r="E30" s="746" t="b">
        <f t="shared" si="2"/>
        <v>0</v>
      </c>
      <c r="F30" s="746" t="b">
        <f t="shared" si="3"/>
        <v>0</v>
      </c>
      <c r="G30" s="746" t="b">
        <f t="shared" si="4"/>
        <v>0</v>
      </c>
      <c r="H30" s="741">
        <f>IF(D30=TRUE,IF(E30=FALSE,'Расчет участников НИР'!$H40*(50%/1),IF(AND(E30=TRUE,F30=TRUE,G30=TRUE),'Расчет участников НИР'!$H40*'счеталка премий'!$T$6,IF(AND(E30=TRUE,F30=TRUE),'Расчет участников НИР'!$H40*(50%/3),'Расчет участников НИР'!$H40*(50%/2)))),0)</f>
        <v>0</v>
      </c>
      <c r="I30" s="741">
        <f>IF(E30=TRUE,IF(D30=FALSE,'Расчет участников НИР'!$H40*(10%),IF(F30=FALSE,'Расчет участников НИР'!$H40*(50%/2),IF(AND(F30=TRUE,G30=TRUE),'Расчет участников НИР'!$H40*'счеталка премий'!$T$6,'Расчет участников НИР'!$H40*(50%/3)))),0)</f>
        <v>0</v>
      </c>
      <c r="J30" s="741">
        <f>IF(F30=TRUE,IF(AND(D30=FALSE,E30=FALSE),'Расчет участников НИР'!$H40*(20%),IF(D30=FALSE,'Расчет участников НИР'!$H40*(10%),IF(G30=FALSE,'Расчет участников НИР'!$H40*(50%/3),'Расчет участников НИР'!$H40*'счеталка премий'!$T$6))),0)</f>
        <v>0</v>
      </c>
      <c r="K30" s="741">
        <f>IF(G30=TRUE,IF(AND(D30=FALSE,E30=FALSE,F30=FALSE),'Расчет участников НИР'!$H40*(50%),'Расчет участников НИР'!$H40*'счеталка премий'!$T$7),0)</f>
        <v>0</v>
      </c>
      <c r="L30" s="741">
        <f t="shared" si="7"/>
        <v>0</v>
      </c>
      <c r="M30" s="741">
        <f>'Расчет участников НИР'!H40</f>
        <v>0</v>
      </c>
      <c r="N30" s="734"/>
      <c r="O30" s="747" t="e">
        <f t="shared" si="5"/>
        <v>#DIV/0!</v>
      </c>
      <c r="P30" s="747" t="e">
        <f t="shared" si="5"/>
        <v>#DIV/0!</v>
      </c>
      <c r="Q30" s="747" t="e">
        <f t="shared" si="5"/>
        <v>#DIV/0!</v>
      </c>
      <c r="R30" s="747" t="e">
        <f t="shared" si="5"/>
        <v>#DIV/0!</v>
      </c>
      <c r="S30" s="734"/>
      <c r="T30" s="734"/>
    </row>
    <row r="31" spans="1:20" x14ac:dyDescent="0.25">
      <c r="A31" s="745">
        <f>'Состав ВТК'!B34</f>
        <v>0</v>
      </c>
      <c r="B31" s="739">
        <f>'Состав ВТК'!L34</f>
        <v>0</v>
      </c>
      <c r="C31" s="739">
        <f>'Состав ВТК'!M34</f>
        <v>0</v>
      </c>
      <c r="D31" s="746" t="b">
        <f t="shared" si="1"/>
        <v>0</v>
      </c>
      <c r="E31" s="746" t="b">
        <f t="shared" si="2"/>
        <v>0</v>
      </c>
      <c r="F31" s="746" t="b">
        <f t="shared" si="3"/>
        <v>0</v>
      </c>
      <c r="G31" s="746" t="b">
        <f t="shared" si="4"/>
        <v>0</v>
      </c>
      <c r="H31" s="741">
        <f>IF(D31=TRUE,IF(E31=FALSE,'Расчет участников НИР'!$H41*(50%/1),IF(AND(E31=TRUE,F31=TRUE,G31=TRUE),'Расчет участников НИР'!$H41*'счеталка премий'!$T$6,IF(AND(E31=TRUE,F31=TRUE),'Расчет участников НИР'!$H41*(50%/3),'Расчет участников НИР'!$H41*(50%/2)))),0)</f>
        <v>0</v>
      </c>
      <c r="I31" s="741">
        <f>IF(E31=TRUE,IF(D31=FALSE,'Расчет участников НИР'!$H41*(10%),IF(F31=FALSE,'Расчет участников НИР'!$H41*(50%/2),IF(AND(F31=TRUE,G31=TRUE),'Расчет участников НИР'!$H41*'счеталка премий'!$T$6,'Расчет участников НИР'!$H41*(50%/3)))),0)</f>
        <v>0</v>
      </c>
      <c r="J31" s="741">
        <f>IF(F31=TRUE,IF(AND(D31=FALSE,E31=FALSE),'Расчет участников НИР'!$H41*(20%),IF(D31=FALSE,'Расчет участников НИР'!$H41*(10%),IF(G31=FALSE,'Расчет участников НИР'!$H41*(50%/3),'Расчет участников НИР'!$H41*'счеталка премий'!$T$6))),0)</f>
        <v>0</v>
      </c>
      <c r="K31" s="741">
        <f>IF(G31=TRUE,IF(AND(D31=FALSE,E31=FALSE,F31=FALSE),'Расчет участников НИР'!$H41*(50%),'Расчет участников НИР'!$H41*'счеталка премий'!$T$7),0)</f>
        <v>0</v>
      </c>
      <c r="L31" s="741">
        <f t="shared" si="7"/>
        <v>0</v>
      </c>
      <c r="M31" s="741">
        <f>'Расчет участников НИР'!H41</f>
        <v>0</v>
      </c>
      <c r="N31" s="734"/>
      <c r="O31" s="747" t="e">
        <f t="shared" si="5"/>
        <v>#DIV/0!</v>
      </c>
      <c r="P31" s="747" t="e">
        <f t="shared" si="5"/>
        <v>#DIV/0!</v>
      </c>
      <c r="Q31" s="747" t="e">
        <f t="shared" si="5"/>
        <v>#DIV/0!</v>
      </c>
      <c r="R31" s="747" t="e">
        <f t="shared" si="5"/>
        <v>#DIV/0!</v>
      </c>
      <c r="S31" s="734"/>
      <c r="T31" s="734"/>
    </row>
    <row r="32" spans="1:20" x14ac:dyDescent="0.25">
      <c r="A32" s="745">
        <f>'Состав ВТК'!B35</f>
        <v>0</v>
      </c>
      <c r="B32" s="739">
        <f>'Состав ВТК'!L35</f>
        <v>0</v>
      </c>
      <c r="C32" s="739">
        <f>'Состав ВТК'!M35</f>
        <v>0</v>
      </c>
      <c r="D32" s="746" t="b">
        <f t="shared" si="1"/>
        <v>0</v>
      </c>
      <c r="E32" s="746" t="b">
        <f t="shared" si="2"/>
        <v>0</v>
      </c>
      <c r="F32" s="746" t="b">
        <f t="shared" si="3"/>
        <v>0</v>
      </c>
      <c r="G32" s="746" t="b">
        <f t="shared" si="4"/>
        <v>0</v>
      </c>
      <c r="H32" s="741">
        <f>IF(D32=TRUE,IF(E32=FALSE,'Расчет участников НИР'!$H42*(50%/1),IF(AND(E32=TRUE,F32=TRUE,G32=TRUE),'Расчет участников НИР'!$H42*'счеталка премий'!$T$6,IF(AND(E32=TRUE,F32=TRUE),'Расчет участников НИР'!$H42*(50%/3),'Расчет участников НИР'!$H42*(50%/2)))),0)</f>
        <v>0</v>
      </c>
      <c r="I32" s="741">
        <f>IF(E32=TRUE,IF(D32=FALSE,'Расчет участников НИР'!$H42*(10%),IF(F32=FALSE,'Расчет участников НИР'!$H42*(50%/2),IF(AND(F32=TRUE,G32=TRUE),'Расчет участников НИР'!$H42*'счеталка премий'!$T$6,'Расчет участников НИР'!$H42*(50%/3)))),0)</f>
        <v>0</v>
      </c>
      <c r="J32" s="741">
        <f>IF(F32=TRUE,IF(AND(D32=FALSE,E32=FALSE),'Расчет участников НИР'!$H42*(20%),IF(D32=FALSE,'Расчет участников НИР'!$H42*(10%),IF(G32=FALSE,'Расчет участников НИР'!$H42*(50%/3),'Расчет участников НИР'!$H42*'счеталка премий'!$T$6))),0)</f>
        <v>0</v>
      </c>
      <c r="K32" s="741">
        <f>IF(G32=TRUE,IF(AND(D32=FALSE,E32=FALSE,F32=FALSE),'Расчет участников НИР'!$H42*(50%),'Расчет участников НИР'!$H42*'счеталка премий'!$T$7),0)</f>
        <v>0</v>
      </c>
      <c r="L32" s="741">
        <f t="shared" si="7"/>
        <v>0</v>
      </c>
      <c r="M32" s="741">
        <f>'Расчет участников НИР'!H42</f>
        <v>0</v>
      </c>
      <c r="N32" s="734"/>
      <c r="O32" s="747" t="e">
        <f t="shared" si="5"/>
        <v>#DIV/0!</v>
      </c>
      <c r="P32" s="747" t="e">
        <f t="shared" si="5"/>
        <v>#DIV/0!</v>
      </c>
      <c r="Q32" s="747" t="e">
        <f t="shared" si="5"/>
        <v>#DIV/0!</v>
      </c>
      <c r="R32" s="747" t="e">
        <f t="shared" si="5"/>
        <v>#DIV/0!</v>
      </c>
      <c r="S32" s="734"/>
      <c r="T32" s="734"/>
    </row>
    <row r="33" spans="1:20" x14ac:dyDescent="0.25">
      <c r="A33" s="745">
        <f>'Состав ВТК'!B36</f>
        <v>0</v>
      </c>
      <c r="B33" s="739">
        <f>'Состав ВТК'!L36</f>
        <v>0</v>
      </c>
      <c r="C33" s="739">
        <f>'Состав ВТК'!M36</f>
        <v>0</v>
      </c>
      <c r="D33" s="746" t="b">
        <f t="shared" si="1"/>
        <v>0</v>
      </c>
      <c r="E33" s="746" t="b">
        <f t="shared" si="2"/>
        <v>0</v>
      </c>
      <c r="F33" s="746" t="b">
        <f t="shared" si="3"/>
        <v>0</v>
      </c>
      <c r="G33" s="746" t="b">
        <f t="shared" si="4"/>
        <v>0</v>
      </c>
      <c r="H33" s="741">
        <f>IF(D33=TRUE,IF(E33=FALSE,'Расчет участников НИР'!$H43*(50%/1),IF(AND(E33=TRUE,F33=TRUE,G33=TRUE),'Расчет участников НИР'!$H43*'счеталка премий'!$T$6,IF(AND(E33=TRUE,F33=TRUE),'Расчет участников НИР'!$H43*(50%/3),'Расчет участников НИР'!$H43*(50%/2)))),0)</f>
        <v>0</v>
      </c>
      <c r="I33" s="741">
        <f>IF(E33=TRUE,IF(D33=FALSE,'Расчет участников НИР'!$H43*(10%),IF(F33=FALSE,'Расчет участников НИР'!$H43*(50%/2),IF(AND(F33=TRUE,G33=TRUE),'Расчет участников НИР'!$H43*'счеталка премий'!$T$6,'Расчет участников НИР'!$H43*(50%/3)))),0)</f>
        <v>0</v>
      </c>
      <c r="J33" s="741">
        <f>IF(F33=TRUE,IF(AND(D33=FALSE,E33=FALSE),'Расчет участников НИР'!$H43*(20%),IF(D33=FALSE,'Расчет участников НИР'!$H43*(10%),IF(G33=FALSE,'Расчет участников НИР'!$H43*(50%/3),'Расчет участников НИР'!$H43*'счеталка премий'!$T$6))),0)</f>
        <v>0</v>
      </c>
      <c r="K33" s="741">
        <f>IF(G33=TRUE,IF(AND(D33=FALSE,E33=FALSE,F33=FALSE),'Расчет участников НИР'!$H43*(50%),'Расчет участников НИР'!$H43*'счеталка премий'!$T$7),0)</f>
        <v>0</v>
      </c>
      <c r="L33" s="741">
        <f t="shared" si="7"/>
        <v>0</v>
      </c>
      <c r="M33" s="741">
        <f>'Расчет участников НИР'!H43</f>
        <v>0</v>
      </c>
      <c r="N33" s="734"/>
      <c r="O33" s="747" t="e">
        <f t="shared" si="5"/>
        <v>#DIV/0!</v>
      </c>
      <c r="P33" s="747" t="e">
        <f t="shared" si="5"/>
        <v>#DIV/0!</v>
      </c>
      <c r="Q33" s="747" t="e">
        <f t="shared" si="5"/>
        <v>#DIV/0!</v>
      </c>
      <c r="R33" s="747" t="e">
        <f t="shared" si="5"/>
        <v>#DIV/0!</v>
      </c>
      <c r="S33" s="734"/>
      <c r="T33" s="734"/>
    </row>
    <row r="34" spans="1:20" x14ac:dyDescent="0.25">
      <c r="A34" s="745">
        <f>'Состав ВТК'!B37</f>
        <v>0</v>
      </c>
      <c r="B34" s="739">
        <f>'Состав ВТК'!L37</f>
        <v>0</v>
      </c>
      <c r="C34" s="739">
        <f>'Состав ВТК'!M37</f>
        <v>0</v>
      </c>
      <c r="D34" s="746" t="b">
        <f t="shared" si="1"/>
        <v>0</v>
      </c>
      <c r="E34" s="746" t="b">
        <f t="shared" si="2"/>
        <v>0</v>
      </c>
      <c r="F34" s="746" t="b">
        <f t="shared" si="3"/>
        <v>0</v>
      </c>
      <c r="G34" s="746" t="b">
        <f t="shared" si="4"/>
        <v>0</v>
      </c>
      <c r="H34" s="741">
        <f>IF(D34=TRUE,IF(E34=FALSE,'Расчет участников НИР'!$H44*(50%/1),IF(AND(E34=TRUE,F34=TRUE,G34=TRUE),'Расчет участников НИР'!$H44*'счеталка премий'!$T$6,IF(AND(E34=TRUE,F34=TRUE),'Расчет участников НИР'!$H44*(50%/3),'Расчет участников НИР'!$H44*(50%/2)))),0)</f>
        <v>0</v>
      </c>
      <c r="I34" s="741">
        <f>IF(E34=TRUE,IF(D34=FALSE,'Расчет участников НИР'!$H44*(10%),IF(F34=FALSE,'Расчет участников НИР'!$H44*(50%/2),IF(AND(F34=TRUE,G34=TRUE),'Расчет участников НИР'!$H44*'счеталка премий'!$T$6,'Расчет участников НИР'!$H44*(50%/3)))),0)</f>
        <v>0</v>
      </c>
      <c r="J34" s="741">
        <f>IF(F34=TRUE,IF(AND(D34=FALSE,E34=FALSE),'Расчет участников НИР'!$H44*(20%),IF(D34=FALSE,'Расчет участников НИР'!$H44*(10%),IF(G34=FALSE,'Расчет участников НИР'!$H44*(50%/3),'Расчет участников НИР'!$H44*'счеталка премий'!$T$6))),0)</f>
        <v>0</v>
      </c>
      <c r="K34" s="741">
        <f>IF(G34=TRUE,IF(AND(D34=FALSE,E34=FALSE,F34=FALSE),'Расчет участников НИР'!$H44*(50%),'Расчет участников НИР'!$H44*'счеталка премий'!$T$7),0)</f>
        <v>0</v>
      </c>
      <c r="L34" s="741">
        <f t="shared" si="7"/>
        <v>0</v>
      </c>
      <c r="M34" s="741">
        <f>'Расчет участников НИР'!H44</f>
        <v>0</v>
      </c>
      <c r="N34" s="734"/>
      <c r="O34" s="747" t="e">
        <f t="shared" ref="O34:R97" si="8">H34/$M34</f>
        <v>#DIV/0!</v>
      </c>
      <c r="P34" s="747" t="e">
        <f t="shared" si="8"/>
        <v>#DIV/0!</v>
      </c>
      <c r="Q34" s="747" t="e">
        <f t="shared" si="8"/>
        <v>#DIV/0!</v>
      </c>
      <c r="R34" s="747" t="e">
        <f t="shared" si="8"/>
        <v>#DIV/0!</v>
      </c>
      <c r="S34" s="734"/>
      <c r="T34" s="734"/>
    </row>
    <row r="35" spans="1:20" x14ac:dyDescent="0.25">
      <c r="A35" s="745">
        <f>'Состав ВТК'!B38</f>
        <v>0</v>
      </c>
      <c r="B35" s="739">
        <f>'Состав ВТК'!L38</f>
        <v>0</v>
      </c>
      <c r="C35" s="739">
        <f>'Состав ВТК'!M38</f>
        <v>0</v>
      </c>
      <c r="D35" s="746" t="b">
        <f t="shared" si="1"/>
        <v>0</v>
      </c>
      <c r="E35" s="746" t="b">
        <f t="shared" si="2"/>
        <v>0</v>
      </c>
      <c r="F35" s="746" t="b">
        <f t="shared" si="3"/>
        <v>0</v>
      </c>
      <c r="G35" s="746" t="b">
        <f t="shared" si="4"/>
        <v>0</v>
      </c>
      <c r="H35" s="741">
        <f>IF(D35=TRUE,IF(E35=FALSE,'Расчет участников НИР'!$H45*(50%/1),IF(AND(E35=TRUE,F35=TRUE,G35=TRUE),'Расчет участников НИР'!$H45*'счеталка премий'!$T$6,IF(AND(E35=TRUE,F35=TRUE),'Расчет участников НИР'!$H45*(50%/3),'Расчет участников НИР'!$H45*(50%/2)))),0)</f>
        <v>0</v>
      </c>
      <c r="I35" s="741">
        <f>IF(E35=TRUE,IF(D35=FALSE,'Расчет участников НИР'!$H45*(10%),IF(F35=FALSE,'Расчет участников НИР'!$H45*(50%/2),IF(AND(F35=TRUE,G35=TRUE),'Расчет участников НИР'!$H45*'счеталка премий'!$T$6,'Расчет участников НИР'!$H45*(50%/3)))),0)</f>
        <v>0</v>
      </c>
      <c r="J35" s="741">
        <f>IF(F35=TRUE,IF(AND(D35=FALSE,E35=FALSE),'Расчет участников НИР'!$H45*(20%),IF(D35=FALSE,'Расчет участников НИР'!$H45*(10%),IF(G35=FALSE,'Расчет участников НИР'!$H45*(50%/3),'Расчет участников НИР'!$H45*'счеталка премий'!$T$6))),0)</f>
        <v>0</v>
      </c>
      <c r="K35" s="741">
        <f>IF(G35=TRUE,IF(AND(D35=FALSE,E35=FALSE,F35=FALSE),'Расчет участников НИР'!$H45*(50%),'Расчет участников НИР'!$H45*'счеталка премий'!$T$7),0)</f>
        <v>0</v>
      </c>
      <c r="L35" s="741">
        <f t="shared" si="7"/>
        <v>0</v>
      </c>
      <c r="M35" s="741">
        <f>'Расчет участников НИР'!H45</f>
        <v>0</v>
      </c>
      <c r="N35" s="734"/>
      <c r="O35" s="747" t="e">
        <f t="shared" si="8"/>
        <v>#DIV/0!</v>
      </c>
      <c r="P35" s="747" t="e">
        <f t="shared" si="8"/>
        <v>#DIV/0!</v>
      </c>
      <c r="Q35" s="747" t="e">
        <f t="shared" si="8"/>
        <v>#DIV/0!</v>
      </c>
      <c r="R35" s="747" t="e">
        <f t="shared" si="8"/>
        <v>#DIV/0!</v>
      </c>
      <c r="S35" s="734"/>
      <c r="T35" s="734"/>
    </row>
    <row r="36" spans="1:20" x14ac:dyDescent="0.25">
      <c r="A36" s="745">
        <f>'Состав ВТК'!B39</f>
        <v>0</v>
      </c>
      <c r="B36" s="739">
        <f>'Состав ВТК'!L39</f>
        <v>0</v>
      </c>
      <c r="C36" s="739">
        <f>'Состав ВТК'!M39</f>
        <v>0</v>
      </c>
      <c r="D36" s="746" t="b">
        <f t="shared" si="1"/>
        <v>0</v>
      </c>
      <c r="E36" s="746" t="b">
        <f t="shared" si="2"/>
        <v>0</v>
      </c>
      <c r="F36" s="746" t="b">
        <f t="shared" si="3"/>
        <v>0</v>
      </c>
      <c r="G36" s="746" t="b">
        <f t="shared" si="4"/>
        <v>0</v>
      </c>
      <c r="H36" s="741">
        <f>IF(D36=TRUE,IF(E36=FALSE,'Расчет участников НИР'!$H46*(50%/1),IF(AND(E36=TRUE,F36=TRUE,G36=TRUE),'Расчет участников НИР'!$H46*'счеталка премий'!$T$6,IF(AND(E36=TRUE,F36=TRUE),'Расчет участников НИР'!$H46*(50%/3),'Расчет участников НИР'!$H46*(50%/2)))),0)</f>
        <v>0</v>
      </c>
      <c r="I36" s="741">
        <f>IF(E36=TRUE,IF(D36=FALSE,'Расчет участников НИР'!$H46*(10%),IF(F36=FALSE,'Расчет участников НИР'!$H46*(50%/2),IF(AND(F36=TRUE,G36=TRUE),'Расчет участников НИР'!$H46*'счеталка премий'!$T$6,'Расчет участников НИР'!$H46*(50%/3)))),0)</f>
        <v>0</v>
      </c>
      <c r="J36" s="741">
        <f>IF(F36=TRUE,IF(AND(D36=FALSE,E36=FALSE),'Расчет участников НИР'!$H46*(20%),IF(D36=FALSE,'Расчет участников НИР'!$H46*(10%),IF(G36=FALSE,'Расчет участников НИР'!$H46*(50%/3),'Расчет участников НИР'!$H46*'счеталка премий'!$T$6))),0)</f>
        <v>0</v>
      </c>
      <c r="K36" s="741">
        <f>IF(G36=TRUE,IF(AND(D36=FALSE,E36=FALSE,F36=FALSE),'Расчет участников НИР'!$H46*(50%),'Расчет участников НИР'!$H46*'счеталка премий'!$T$7),0)</f>
        <v>0</v>
      </c>
      <c r="L36" s="741">
        <f t="shared" si="7"/>
        <v>0</v>
      </c>
      <c r="M36" s="741">
        <f>'Расчет участников НИР'!H46</f>
        <v>0</v>
      </c>
      <c r="O36" s="747" t="e">
        <f t="shared" si="8"/>
        <v>#DIV/0!</v>
      </c>
      <c r="P36" s="747" t="e">
        <f t="shared" si="8"/>
        <v>#DIV/0!</v>
      </c>
      <c r="Q36" s="747" t="e">
        <f t="shared" si="8"/>
        <v>#DIV/0!</v>
      </c>
      <c r="R36" s="747" t="e">
        <f t="shared" si="8"/>
        <v>#DIV/0!</v>
      </c>
    </row>
    <row r="37" spans="1:20" x14ac:dyDescent="0.25">
      <c r="A37" s="745">
        <f>'Состав ВТК'!B40</f>
        <v>0</v>
      </c>
      <c r="B37" s="739">
        <f>'Состав ВТК'!L40</f>
        <v>0</v>
      </c>
      <c r="C37" s="739">
        <f>'Состав ВТК'!M40</f>
        <v>0</v>
      </c>
      <c r="D37" s="746" t="b">
        <f t="shared" si="1"/>
        <v>0</v>
      </c>
      <c r="E37" s="746" t="b">
        <f t="shared" si="2"/>
        <v>0</v>
      </c>
      <c r="F37" s="746" t="b">
        <f t="shared" si="3"/>
        <v>0</v>
      </c>
      <c r="G37" s="746" t="b">
        <f t="shared" si="4"/>
        <v>0</v>
      </c>
      <c r="H37" s="741">
        <f>IF(D37=TRUE,IF(E37=FALSE,'Расчет участников НИР'!$H47*(50%/1),IF(AND(E37=TRUE,F37=TRUE,G37=TRUE),'Расчет участников НИР'!$H47*'счеталка премий'!$T$6,IF(AND(E37=TRUE,F37=TRUE),'Расчет участников НИР'!$H47*(50%/3),'Расчет участников НИР'!$H47*(50%/2)))),0)</f>
        <v>0</v>
      </c>
      <c r="I37" s="741">
        <f>IF(E37=TRUE,IF(D37=FALSE,'Расчет участников НИР'!$H47*(10%),IF(F37=FALSE,'Расчет участников НИР'!$H47*(50%/2),IF(AND(F37=TRUE,G37=TRUE),'Расчет участников НИР'!$H47*'счеталка премий'!$T$6,'Расчет участников НИР'!$H47*(50%/3)))),0)</f>
        <v>0</v>
      </c>
      <c r="J37" s="741">
        <f>IF(F37=TRUE,IF(AND(D37=FALSE,E37=FALSE),'Расчет участников НИР'!$H47*(20%),IF(D37=FALSE,'Расчет участников НИР'!$H47*(10%),IF(G37=FALSE,'Расчет участников НИР'!$H47*(50%/3),'Расчет участников НИР'!$H47*'счеталка премий'!$T$6))),0)</f>
        <v>0</v>
      </c>
      <c r="K37" s="741">
        <f>IF(G37=TRUE,IF(AND(D37=FALSE,E37=FALSE,F37=FALSE),'Расчет участников НИР'!$H47*(50%),'Расчет участников НИР'!$H47*'счеталка премий'!$T$7),0)</f>
        <v>0</v>
      </c>
      <c r="L37" s="741">
        <f t="shared" si="7"/>
        <v>0</v>
      </c>
      <c r="M37" s="741">
        <f>'Расчет участников НИР'!H47</f>
        <v>0</v>
      </c>
      <c r="O37" s="747" t="e">
        <f t="shared" si="8"/>
        <v>#DIV/0!</v>
      </c>
      <c r="P37" s="747" t="e">
        <f t="shared" si="8"/>
        <v>#DIV/0!</v>
      </c>
      <c r="Q37" s="747" t="e">
        <f t="shared" si="8"/>
        <v>#DIV/0!</v>
      </c>
      <c r="R37" s="747" t="e">
        <f t="shared" si="8"/>
        <v>#DIV/0!</v>
      </c>
    </row>
    <row r="38" spans="1:20" x14ac:dyDescent="0.25">
      <c r="A38" s="745">
        <f>'Состав ВТК'!B41</f>
        <v>0</v>
      </c>
      <c r="B38" s="739">
        <f>'Состав ВТК'!L41</f>
        <v>0</v>
      </c>
      <c r="C38" s="739">
        <f>'Состав ВТК'!M41</f>
        <v>0</v>
      </c>
      <c r="D38" s="746" t="b">
        <f t="shared" si="1"/>
        <v>0</v>
      </c>
      <c r="E38" s="746" t="b">
        <f t="shared" si="2"/>
        <v>0</v>
      </c>
      <c r="F38" s="746" t="b">
        <f t="shared" si="3"/>
        <v>0</v>
      </c>
      <c r="G38" s="746" t="b">
        <f t="shared" si="4"/>
        <v>0</v>
      </c>
      <c r="H38" s="741">
        <f>IF(D38=TRUE,IF(E38=FALSE,'Расчет участников НИР'!$H48*(50%/1),IF(AND(E38=TRUE,F38=TRUE,G38=TRUE),'Расчет участников НИР'!$H48*'счеталка премий'!$T$6,IF(AND(E38=TRUE,F38=TRUE),'Расчет участников НИР'!$H48*(50%/3),'Расчет участников НИР'!$H48*(50%/2)))),0)</f>
        <v>0</v>
      </c>
      <c r="I38" s="741">
        <f>IF(E38=TRUE,IF(D38=FALSE,'Расчет участников НИР'!$H48*(10%),IF(F38=FALSE,'Расчет участников НИР'!$H48*(50%/2),IF(AND(F38=TRUE,G38=TRUE),'Расчет участников НИР'!$H48*'счеталка премий'!$T$6,'Расчет участников НИР'!$H48*(50%/3)))),0)</f>
        <v>0</v>
      </c>
      <c r="J38" s="741">
        <f>IF(F38=TRUE,IF(AND(D38=FALSE,E38=FALSE),'Расчет участников НИР'!$H48*(20%),IF(D38=FALSE,'Расчет участников НИР'!$H48*(10%),IF(G38=FALSE,'Расчет участников НИР'!$H48*(50%/3),'Расчет участников НИР'!$H48*'счеталка премий'!$T$6))),0)</f>
        <v>0</v>
      </c>
      <c r="K38" s="741">
        <f>IF(G38=TRUE,IF(AND(D38=FALSE,E38=FALSE,F38=FALSE),'Расчет участников НИР'!$H48*(50%),'Расчет участников НИР'!$H48*'счеталка премий'!$T$7),0)</f>
        <v>0</v>
      </c>
      <c r="L38" s="741">
        <f t="shared" si="7"/>
        <v>0</v>
      </c>
      <c r="M38" s="741">
        <f>'Расчет участников НИР'!H48</f>
        <v>0</v>
      </c>
      <c r="O38" s="747" t="e">
        <f t="shared" si="8"/>
        <v>#DIV/0!</v>
      </c>
      <c r="P38" s="747" t="e">
        <f t="shared" si="8"/>
        <v>#DIV/0!</v>
      </c>
      <c r="Q38" s="747" t="e">
        <f t="shared" si="8"/>
        <v>#DIV/0!</v>
      </c>
      <c r="R38" s="747" t="e">
        <f t="shared" si="8"/>
        <v>#DIV/0!</v>
      </c>
    </row>
    <row r="39" spans="1:20" x14ac:dyDescent="0.25">
      <c r="A39" s="745">
        <f>'Состав ВТК'!B42</f>
        <v>0</v>
      </c>
      <c r="B39" s="739">
        <f>'Состав ВТК'!L42</f>
        <v>0</v>
      </c>
      <c r="C39" s="739">
        <f>'Состав ВТК'!M42</f>
        <v>0</v>
      </c>
      <c r="D39" s="746" t="b">
        <f t="shared" si="1"/>
        <v>0</v>
      </c>
      <c r="E39" s="746" t="b">
        <f t="shared" si="2"/>
        <v>0</v>
      </c>
      <c r="F39" s="746" t="b">
        <f t="shared" si="3"/>
        <v>0</v>
      </c>
      <c r="G39" s="746" t="b">
        <f t="shared" si="4"/>
        <v>0</v>
      </c>
      <c r="H39" s="741">
        <f>IF(D39=TRUE,IF(E39=FALSE,'Расчет участников НИР'!$H49*(50%/1),IF(AND(E39=TRUE,F39=TRUE,G39=TRUE),'Расчет участников НИР'!$H49*'счеталка премий'!$T$6,IF(AND(E39=TRUE,F39=TRUE),'Расчет участников НИР'!$H49*(50%/3),'Расчет участников НИР'!$H49*(50%/2)))),0)</f>
        <v>0</v>
      </c>
      <c r="I39" s="741">
        <f>IF(E39=TRUE,IF(D39=FALSE,'Расчет участников НИР'!$H49*(10%),IF(F39=FALSE,'Расчет участников НИР'!$H49*(50%/2),IF(AND(F39=TRUE,G39=TRUE),'Расчет участников НИР'!$H49*'счеталка премий'!$T$6,'Расчет участников НИР'!$H49*(50%/3)))),0)</f>
        <v>0</v>
      </c>
      <c r="J39" s="741">
        <f>IF(F39=TRUE,IF(AND(D39=FALSE,E39=FALSE),'Расчет участников НИР'!$H49*(20%),IF(D39=FALSE,'Расчет участников НИР'!$H49*(10%),IF(G39=FALSE,'Расчет участников НИР'!$H49*(50%/3),'Расчет участников НИР'!$H49*'счеталка премий'!$T$6))),0)</f>
        <v>0</v>
      </c>
      <c r="K39" s="741">
        <f>IF(G39=TRUE,IF(AND(D39=FALSE,E39=FALSE,F39=FALSE),'Расчет участников НИР'!$H49*(50%),'Расчет участников НИР'!$H49*'счеталка премий'!$T$7),0)</f>
        <v>0</v>
      </c>
      <c r="L39" s="741">
        <f t="shared" si="7"/>
        <v>0</v>
      </c>
      <c r="M39" s="741">
        <f>'Расчет участников НИР'!H49</f>
        <v>0</v>
      </c>
      <c r="O39" s="747" t="e">
        <f t="shared" si="8"/>
        <v>#DIV/0!</v>
      </c>
      <c r="P39" s="747" t="e">
        <f t="shared" si="8"/>
        <v>#DIV/0!</v>
      </c>
      <c r="Q39" s="747" t="e">
        <f t="shared" si="8"/>
        <v>#DIV/0!</v>
      </c>
      <c r="R39" s="747" t="e">
        <f t="shared" si="8"/>
        <v>#DIV/0!</v>
      </c>
    </row>
    <row r="40" spans="1:20" x14ac:dyDescent="0.25">
      <c r="A40" s="745">
        <f>'Состав ВТК'!B43</f>
        <v>0</v>
      </c>
      <c r="B40" s="739">
        <f>'Состав ВТК'!L43</f>
        <v>0</v>
      </c>
      <c r="C40" s="739">
        <f>'Состав ВТК'!M43</f>
        <v>0</v>
      </c>
      <c r="D40" s="746" t="b">
        <f t="shared" si="1"/>
        <v>0</v>
      </c>
      <c r="E40" s="746" t="b">
        <f t="shared" si="2"/>
        <v>0</v>
      </c>
      <c r="F40" s="746" t="b">
        <f t="shared" si="3"/>
        <v>0</v>
      </c>
      <c r="G40" s="746" t="b">
        <f t="shared" si="4"/>
        <v>0</v>
      </c>
      <c r="H40" s="741">
        <f>IF(D40=TRUE,IF(E40=FALSE,'Расчет участников НИР'!$H50*(50%/1),IF(AND(E40=TRUE,F40=TRUE,G40=TRUE),'Расчет участников НИР'!$H50*'счеталка премий'!$T$6,IF(AND(E40=TRUE,F40=TRUE),'Расчет участников НИР'!$H50*(50%/3),'Расчет участников НИР'!$H50*(50%/2)))),0)</f>
        <v>0</v>
      </c>
      <c r="I40" s="741">
        <f>IF(E40=TRUE,IF(D40=FALSE,'Расчет участников НИР'!$H50*(10%),IF(F40=FALSE,'Расчет участников НИР'!$H50*(50%/2),IF(AND(F40=TRUE,G40=TRUE),'Расчет участников НИР'!$H50*'счеталка премий'!$T$6,'Расчет участников НИР'!$H50*(50%/3)))),0)</f>
        <v>0</v>
      </c>
      <c r="J40" s="741">
        <f>IF(F40=TRUE,IF(AND(D40=FALSE,E40=FALSE),'Расчет участников НИР'!$H50*(20%),IF(D40=FALSE,'Расчет участников НИР'!$H50*(10%),IF(G40=FALSE,'Расчет участников НИР'!$H50*(50%/3),'Расчет участников НИР'!$H50*'счеталка премий'!$T$6))),0)</f>
        <v>0</v>
      </c>
      <c r="K40" s="741">
        <f>IF(G40=TRUE,IF(AND(D40=FALSE,E40=FALSE,F40=FALSE),'Расчет участников НИР'!$H50*(50%),'Расчет участников НИР'!$H50*'счеталка премий'!$T$7),0)</f>
        <v>0</v>
      </c>
      <c r="L40" s="741">
        <f t="shared" si="7"/>
        <v>0</v>
      </c>
      <c r="M40" s="741">
        <f>'Расчет участников НИР'!H50</f>
        <v>0</v>
      </c>
      <c r="O40" s="747" t="e">
        <f t="shared" si="8"/>
        <v>#DIV/0!</v>
      </c>
      <c r="P40" s="747" t="e">
        <f t="shared" si="8"/>
        <v>#DIV/0!</v>
      </c>
      <c r="Q40" s="747" t="e">
        <f t="shared" si="8"/>
        <v>#DIV/0!</v>
      </c>
      <c r="R40" s="747" t="e">
        <f t="shared" si="8"/>
        <v>#DIV/0!</v>
      </c>
    </row>
    <row r="41" spans="1:20" x14ac:dyDescent="0.25">
      <c r="A41" s="745">
        <f>'Состав ВТК'!B44</f>
        <v>0</v>
      </c>
      <c r="B41" s="739">
        <f>'Состав ВТК'!L44</f>
        <v>0</v>
      </c>
      <c r="C41" s="739">
        <f>'Состав ВТК'!M44</f>
        <v>0</v>
      </c>
      <c r="D41" s="746" t="b">
        <f t="shared" si="1"/>
        <v>0</v>
      </c>
      <c r="E41" s="746" t="b">
        <f t="shared" si="2"/>
        <v>0</v>
      </c>
      <c r="F41" s="746" t="b">
        <f t="shared" si="3"/>
        <v>0</v>
      </c>
      <c r="G41" s="746" t="b">
        <f t="shared" si="4"/>
        <v>0</v>
      </c>
      <c r="H41" s="741">
        <f>IF(D41=TRUE,IF(E41=FALSE,'Расчет участников НИР'!$H51*(50%/1),IF(AND(E41=TRUE,F41=TRUE,G41=TRUE),'Расчет участников НИР'!$H51*'счеталка премий'!$T$6,IF(AND(E41=TRUE,F41=TRUE),'Расчет участников НИР'!$H51*(50%/3),'Расчет участников НИР'!$H51*(50%/2)))),0)</f>
        <v>0</v>
      </c>
      <c r="I41" s="741">
        <f>IF(E41=TRUE,IF(D41=FALSE,'Расчет участников НИР'!$H51*(10%),IF(F41=FALSE,'Расчет участников НИР'!$H51*(50%/2),IF(AND(F41=TRUE,G41=TRUE),'Расчет участников НИР'!$H51*'счеталка премий'!$T$6,'Расчет участников НИР'!$H51*(50%/3)))),0)</f>
        <v>0</v>
      </c>
      <c r="J41" s="741">
        <f>IF(F41=TRUE,IF(AND(D41=FALSE,E41=FALSE),'Расчет участников НИР'!$H51*(20%),IF(D41=FALSE,'Расчет участников НИР'!$H51*(10%),IF(G41=FALSE,'Расчет участников НИР'!$H51*(50%/3),'Расчет участников НИР'!$H51*'счеталка премий'!$T$6))),0)</f>
        <v>0</v>
      </c>
      <c r="K41" s="741">
        <f>IF(G41=TRUE,IF(AND(D41=FALSE,E41=FALSE,F41=FALSE),'Расчет участников НИР'!$H51*(50%),'Расчет участников НИР'!$H51*'счеталка премий'!$T$7),0)</f>
        <v>0</v>
      </c>
      <c r="L41" s="741">
        <f t="shared" si="7"/>
        <v>0</v>
      </c>
      <c r="M41" s="741">
        <f>'Расчет участников НИР'!H51</f>
        <v>0</v>
      </c>
      <c r="O41" s="747" t="e">
        <f t="shared" si="8"/>
        <v>#DIV/0!</v>
      </c>
      <c r="P41" s="747" t="e">
        <f t="shared" si="8"/>
        <v>#DIV/0!</v>
      </c>
      <c r="Q41" s="747" t="e">
        <f t="shared" si="8"/>
        <v>#DIV/0!</v>
      </c>
      <c r="R41" s="747" t="e">
        <f t="shared" si="8"/>
        <v>#DIV/0!</v>
      </c>
    </row>
    <row r="42" spans="1:20" x14ac:dyDescent="0.25">
      <c r="A42" s="745">
        <f>'Состав ВТК'!B45</f>
        <v>0</v>
      </c>
      <c r="B42" s="739">
        <f>'Состав ВТК'!L45</f>
        <v>0</v>
      </c>
      <c r="C42" s="739">
        <f>'Состав ВТК'!M45</f>
        <v>0</v>
      </c>
      <c r="D42" s="746" t="b">
        <f t="shared" si="1"/>
        <v>0</v>
      </c>
      <c r="E42" s="746" t="b">
        <f t="shared" si="2"/>
        <v>0</v>
      </c>
      <c r="F42" s="746" t="b">
        <f t="shared" si="3"/>
        <v>0</v>
      </c>
      <c r="G42" s="746" t="b">
        <f t="shared" si="4"/>
        <v>0</v>
      </c>
      <c r="H42" s="741">
        <f>IF(D42=TRUE,IF(E42=FALSE,'Расчет участников НИР'!$H52*(50%/1),IF(AND(E42=TRUE,F42=TRUE,G42=TRUE),'Расчет участников НИР'!$H52*'счеталка премий'!$T$6,IF(AND(E42=TRUE,F42=TRUE),'Расчет участников НИР'!$H52*(50%/3),'Расчет участников НИР'!$H52*(50%/2)))),0)</f>
        <v>0</v>
      </c>
      <c r="I42" s="741">
        <f>IF(E42=TRUE,IF(D42=FALSE,'Расчет участников НИР'!$H52*(10%),IF(F42=FALSE,'Расчет участников НИР'!$H52*(50%/2),IF(AND(F42=TRUE,G42=TRUE),'Расчет участников НИР'!$H52*'счеталка премий'!$T$6,'Расчет участников НИР'!$H52*(50%/3)))),0)</f>
        <v>0</v>
      </c>
      <c r="J42" s="741">
        <f>IF(F42=TRUE,IF(AND(D42=FALSE,E42=FALSE),'Расчет участников НИР'!$H52*(20%),IF(D42=FALSE,'Расчет участников НИР'!$H52*(10%),IF(G42=FALSE,'Расчет участников НИР'!$H52*(50%/3),'Расчет участников НИР'!$H52*'счеталка премий'!$T$6))),0)</f>
        <v>0</v>
      </c>
      <c r="K42" s="741">
        <f>IF(G42=TRUE,IF(AND(D42=FALSE,E42=FALSE,F42=FALSE),'Расчет участников НИР'!$H52*(50%),'Расчет участников НИР'!$H52*'счеталка премий'!$T$7),0)</f>
        <v>0</v>
      </c>
      <c r="L42" s="741">
        <f t="shared" si="7"/>
        <v>0</v>
      </c>
      <c r="M42" s="741">
        <f>'Расчет участников НИР'!H52</f>
        <v>0</v>
      </c>
      <c r="O42" s="747" t="e">
        <f t="shared" si="8"/>
        <v>#DIV/0!</v>
      </c>
      <c r="P42" s="747" t="e">
        <f t="shared" si="8"/>
        <v>#DIV/0!</v>
      </c>
      <c r="Q42" s="747" t="e">
        <f t="shared" si="8"/>
        <v>#DIV/0!</v>
      </c>
      <c r="R42" s="747" t="e">
        <f t="shared" si="8"/>
        <v>#DIV/0!</v>
      </c>
    </row>
    <row r="43" spans="1:20" x14ac:dyDescent="0.25">
      <c r="A43" s="745">
        <f>'Состав ВТК'!B46</f>
        <v>0</v>
      </c>
      <c r="B43" s="739">
        <f>'Состав ВТК'!L46</f>
        <v>0</v>
      </c>
      <c r="C43" s="739">
        <f>'Состав ВТК'!M46</f>
        <v>0</v>
      </c>
      <c r="D43" s="746" t="b">
        <f t="shared" si="1"/>
        <v>0</v>
      </c>
      <c r="E43" s="746" t="b">
        <f t="shared" si="2"/>
        <v>0</v>
      </c>
      <c r="F43" s="746" t="b">
        <f t="shared" si="3"/>
        <v>0</v>
      </c>
      <c r="G43" s="746" t="b">
        <f t="shared" si="4"/>
        <v>0</v>
      </c>
      <c r="H43" s="741">
        <f>IF(D43=TRUE,IF(E43=FALSE,'Расчет участников НИР'!$H53*(50%/1),IF(AND(E43=TRUE,F43=TRUE,G43=TRUE),'Расчет участников НИР'!$H53*'счеталка премий'!$T$6,IF(AND(E43=TRUE,F43=TRUE),'Расчет участников НИР'!$H53*(50%/3),'Расчет участников НИР'!$H53*(50%/2)))),0)</f>
        <v>0</v>
      </c>
      <c r="I43" s="741">
        <f>IF(E43=TRUE,IF(D43=FALSE,'Расчет участников НИР'!$H53*(10%),IF(F43=FALSE,'Расчет участников НИР'!$H53*(50%/2),IF(AND(F43=TRUE,G43=TRUE),'Расчет участников НИР'!$H53*'счеталка премий'!$T$6,'Расчет участников НИР'!$H53*(50%/3)))),0)</f>
        <v>0</v>
      </c>
      <c r="J43" s="741">
        <f>IF(F43=TRUE,IF(AND(D43=FALSE,E43=FALSE),'Расчет участников НИР'!$H53*(20%),IF(D43=FALSE,'Расчет участников НИР'!$H53*(10%),IF(G43=FALSE,'Расчет участников НИР'!$H53*(50%/3),'Расчет участников НИР'!$H53*'счеталка премий'!$T$6))),0)</f>
        <v>0</v>
      </c>
      <c r="K43" s="741">
        <f>IF(G43=TRUE,IF(AND(D43=FALSE,E43=FALSE,F43=FALSE),'Расчет участников НИР'!$H53*(50%),'Расчет участников НИР'!$H53*'счеталка премий'!$T$7),0)</f>
        <v>0</v>
      </c>
      <c r="L43" s="741">
        <f t="shared" si="7"/>
        <v>0</v>
      </c>
      <c r="M43" s="741">
        <f>'Расчет участников НИР'!H53</f>
        <v>0</v>
      </c>
      <c r="O43" s="747" t="e">
        <f t="shared" si="8"/>
        <v>#DIV/0!</v>
      </c>
      <c r="P43" s="747" t="e">
        <f t="shared" si="8"/>
        <v>#DIV/0!</v>
      </c>
      <c r="Q43" s="747" t="e">
        <f t="shared" si="8"/>
        <v>#DIV/0!</v>
      </c>
      <c r="R43" s="747" t="e">
        <f t="shared" si="8"/>
        <v>#DIV/0!</v>
      </c>
    </row>
    <row r="44" spans="1:20" x14ac:dyDescent="0.25">
      <c r="A44" s="745">
        <f>'Состав ВТК'!B47</f>
        <v>0</v>
      </c>
      <c r="B44" s="739">
        <f>'Состав ВТК'!L47</f>
        <v>0</v>
      </c>
      <c r="C44" s="739">
        <f>'Состав ВТК'!M47</f>
        <v>0</v>
      </c>
      <c r="D44" s="746" t="b">
        <f t="shared" si="1"/>
        <v>0</v>
      </c>
      <c r="E44" s="746" t="b">
        <f t="shared" si="2"/>
        <v>0</v>
      </c>
      <c r="F44" s="746" t="b">
        <f t="shared" si="3"/>
        <v>0</v>
      </c>
      <c r="G44" s="746" t="b">
        <f t="shared" si="4"/>
        <v>0</v>
      </c>
      <c r="H44" s="741">
        <f>IF(D44=TRUE,IF(E44=FALSE,'Расчет участников НИР'!$H54*(50%/1),IF(AND(E44=TRUE,F44=TRUE,G44=TRUE),'Расчет участников НИР'!$H54*'счеталка премий'!$T$6,IF(AND(E44=TRUE,F44=TRUE),'Расчет участников НИР'!$H54*(50%/3),'Расчет участников НИР'!$H54*(50%/2)))),0)</f>
        <v>0</v>
      </c>
      <c r="I44" s="741">
        <f>IF(E44=TRUE,IF(D44=FALSE,'Расчет участников НИР'!$H54*(10%),IF(F44=FALSE,'Расчет участников НИР'!$H54*(50%/2),IF(AND(F44=TRUE,G44=TRUE),'Расчет участников НИР'!$H54*'счеталка премий'!$T$6,'Расчет участников НИР'!$H54*(50%/3)))),0)</f>
        <v>0</v>
      </c>
      <c r="J44" s="741">
        <f>IF(F44=TRUE,IF(AND(D44=FALSE,E44=FALSE),'Расчет участников НИР'!$H54*(20%),IF(D44=FALSE,'Расчет участников НИР'!$H54*(10%),IF(G44=FALSE,'Расчет участников НИР'!$H54*(50%/3),'Расчет участников НИР'!$H54*'счеталка премий'!$T$6))),0)</f>
        <v>0</v>
      </c>
      <c r="K44" s="741">
        <f>IF(G44=TRUE,IF(AND(D44=FALSE,E44=FALSE,F44=FALSE),'Расчет участников НИР'!$H54*(50%),'Расчет участников НИР'!$H54*'счеталка премий'!$T$7),0)</f>
        <v>0</v>
      </c>
      <c r="L44" s="741">
        <f t="shared" si="7"/>
        <v>0</v>
      </c>
      <c r="M44" s="741">
        <f>'Расчет участников НИР'!H54</f>
        <v>0</v>
      </c>
      <c r="O44" s="747" t="e">
        <f t="shared" si="8"/>
        <v>#DIV/0!</v>
      </c>
      <c r="P44" s="747" t="e">
        <f t="shared" si="8"/>
        <v>#DIV/0!</v>
      </c>
      <c r="Q44" s="747" t="e">
        <f t="shared" si="8"/>
        <v>#DIV/0!</v>
      </c>
      <c r="R44" s="747" t="e">
        <f t="shared" si="8"/>
        <v>#DIV/0!</v>
      </c>
    </row>
    <row r="45" spans="1:20" x14ac:dyDescent="0.25">
      <c r="A45" s="745">
        <f>'Состав ВТК'!B48</f>
        <v>0</v>
      </c>
      <c r="B45" s="739">
        <f>'Состав ВТК'!L48</f>
        <v>0</v>
      </c>
      <c r="C45" s="739">
        <f>'Состав ВТК'!M48</f>
        <v>0</v>
      </c>
      <c r="D45" s="746" t="b">
        <f t="shared" si="1"/>
        <v>0</v>
      </c>
      <c r="E45" s="746" t="b">
        <f t="shared" si="2"/>
        <v>0</v>
      </c>
      <c r="F45" s="746" t="b">
        <f t="shared" si="3"/>
        <v>0</v>
      </c>
      <c r="G45" s="746" t="b">
        <f t="shared" si="4"/>
        <v>0</v>
      </c>
      <c r="H45" s="741">
        <f>IF(D45=TRUE,IF(E45=FALSE,'Расчет участников НИР'!$H55*(50%/1),IF(AND(E45=TRUE,F45=TRUE,G45=TRUE),'Расчет участников НИР'!$H55*'счеталка премий'!$T$6,IF(AND(E45=TRUE,F45=TRUE),'Расчет участников НИР'!$H55*(50%/3),'Расчет участников НИР'!$H55*(50%/2)))),0)</f>
        <v>0</v>
      </c>
      <c r="I45" s="741">
        <f>IF(E45=TRUE,IF(D45=FALSE,'Расчет участников НИР'!$H55*(10%),IF(F45=FALSE,'Расчет участников НИР'!$H55*(50%/2),IF(AND(F45=TRUE,G45=TRUE),'Расчет участников НИР'!$H55*'счеталка премий'!$T$6,'Расчет участников НИР'!$H55*(50%/3)))),0)</f>
        <v>0</v>
      </c>
      <c r="J45" s="741">
        <f>IF(F45=TRUE,IF(AND(D45=FALSE,E45=FALSE),'Расчет участников НИР'!$H55*(20%),IF(D45=FALSE,'Расчет участников НИР'!$H55*(10%),IF(G45=FALSE,'Расчет участников НИР'!$H55*(50%/3),'Расчет участников НИР'!$H55*'счеталка премий'!$T$6))),0)</f>
        <v>0</v>
      </c>
      <c r="K45" s="741">
        <f>IF(G45=TRUE,IF(AND(D45=FALSE,E45=FALSE,F45=FALSE),'Расчет участников НИР'!$H55*(50%),'Расчет участников НИР'!$H55*'счеталка премий'!$T$7),0)</f>
        <v>0</v>
      </c>
      <c r="L45" s="741">
        <f t="shared" si="7"/>
        <v>0</v>
      </c>
      <c r="M45" s="741">
        <f>'Расчет участников НИР'!H55</f>
        <v>0</v>
      </c>
      <c r="O45" s="747" t="e">
        <f t="shared" si="8"/>
        <v>#DIV/0!</v>
      </c>
      <c r="P45" s="747" t="e">
        <f t="shared" si="8"/>
        <v>#DIV/0!</v>
      </c>
      <c r="Q45" s="747" t="e">
        <f t="shared" si="8"/>
        <v>#DIV/0!</v>
      </c>
      <c r="R45" s="747" t="e">
        <f t="shared" si="8"/>
        <v>#DIV/0!</v>
      </c>
    </row>
    <row r="46" spans="1:20" x14ac:dyDescent="0.25">
      <c r="A46" s="745">
        <f>'Состав ВТК'!B49</f>
        <v>0</v>
      </c>
      <c r="B46" s="739">
        <f>'Состав ВТК'!L49</f>
        <v>0</v>
      </c>
      <c r="C46" s="739">
        <f>'Состав ВТК'!M49</f>
        <v>0</v>
      </c>
      <c r="D46" s="746" t="b">
        <f t="shared" si="1"/>
        <v>0</v>
      </c>
      <c r="E46" s="746" t="b">
        <f t="shared" si="2"/>
        <v>0</v>
      </c>
      <c r="F46" s="746" t="b">
        <f t="shared" si="3"/>
        <v>0</v>
      </c>
      <c r="G46" s="746" t="b">
        <f t="shared" si="4"/>
        <v>0</v>
      </c>
      <c r="H46" s="741">
        <f>IF(D46=TRUE,IF(E46=FALSE,'Расчет участников НИР'!$H56*(50%/1),IF(AND(E46=TRUE,F46=TRUE,G46=TRUE),'Расчет участников НИР'!$H56*'счеталка премий'!$T$6,IF(AND(E46=TRUE,F46=TRUE),'Расчет участников НИР'!$H56*(50%/3),'Расчет участников НИР'!$H56*(50%/2)))),0)</f>
        <v>0</v>
      </c>
      <c r="I46" s="741">
        <f>IF(E46=TRUE,IF(D46=FALSE,'Расчет участников НИР'!$H56*(10%),IF(F46=FALSE,'Расчет участников НИР'!$H56*(50%/2),IF(AND(F46=TRUE,G46=TRUE),'Расчет участников НИР'!$H56*'счеталка премий'!$T$6,'Расчет участников НИР'!$H56*(50%/3)))),0)</f>
        <v>0</v>
      </c>
      <c r="J46" s="741">
        <f>IF(F46=TRUE,IF(AND(D46=FALSE,E46=FALSE),'Расчет участников НИР'!$H56*(20%),IF(D46=FALSE,'Расчет участников НИР'!$H56*(10%),IF(G46=FALSE,'Расчет участников НИР'!$H56*(50%/3),'Расчет участников НИР'!$H56*'счеталка премий'!$T$6))),0)</f>
        <v>0</v>
      </c>
      <c r="K46" s="741">
        <f>IF(G46=TRUE,IF(AND(D46=FALSE,E46=FALSE,F46=FALSE),'Расчет участников НИР'!$H56*(50%),'Расчет участников НИР'!$H56*'счеталка премий'!$T$7),0)</f>
        <v>0</v>
      </c>
      <c r="L46" s="741">
        <f t="shared" si="7"/>
        <v>0</v>
      </c>
      <c r="M46" s="741">
        <f>'Расчет участников НИР'!H56</f>
        <v>0</v>
      </c>
      <c r="O46" s="747" t="e">
        <f t="shared" si="8"/>
        <v>#DIV/0!</v>
      </c>
      <c r="P46" s="747" t="e">
        <f t="shared" si="8"/>
        <v>#DIV/0!</v>
      </c>
      <c r="Q46" s="747" t="e">
        <f t="shared" si="8"/>
        <v>#DIV/0!</v>
      </c>
      <c r="R46" s="747" t="e">
        <f t="shared" si="8"/>
        <v>#DIV/0!</v>
      </c>
    </row>
    <row r="47" spans="1:20" x14ac:dyDescent="0.25">
      <c r="A47" s="745">
        <f>'Состав ВТК'!B50</f>
        <v>0</v>
      </c>
      <c r="B47" s="739">
        <f>'Состав ВТК'!L50</f>
        <v>0</v>
      </c>
      <c r="C47" s="739">
        <f>'Состав ВТК'!M50</f>
        <v>0</v>
      </c>
      <c r="D47" s="746" t="b">
        <f t="shared" si="1"/>
        <v>0</v>
      </c>
      <c r="E47" s="746" t="b">
        <f t="shared" si="2"/>
        <v>0</v>
      </c>
      <c r="F47" s="746" t="b">
        <f t="shared" si="3"/>
        <v>0</v>
      </c>
      <c r="G47" s="746" t="b">
        <f t="shared" si="4"/>
        <v>0</v>
      </c>
      <c r="H47" s="741">
        <f>IF(D47=TRUE,IF(E47=FALSE,'Расчет участников НИР'!$H57*(50%/1),IF(AND(E47=TRUE,F47=TRUE,G47=TRUE),'Расчет участников НИР'!$H57*'счеталка премий'!$T$6,IF(AND(E47=TRUE,F47=TRUE),'Расчет участников НИР'!$H57*(50%/3),'Расчет участников НИР'!$H57*(50%/2)))),0)</f>
        <v>0</v>
      </c>
      <c r="I47" s="741">
        <f>IF(E47=TRUE,IF(D47=FALSE,'Расчет участников НИР'!$H57*(10%),IF(F47=FALSE,'Расчет участников НИР'!$H57*(50%/2),IF(AND(F47=TRUE,G47=TRUE),'Расчет участников НИР'!$H57*'счеталка премий'!$T$6,'Расчет участников НИР'!$H57*(50%/3)))),0)</f>
        <v>0</v>
      </c>
      <c r="J47" s="741">
        <f>IF(F47=TRUE,IF(AND(D47=FALSE,E47=FALSE),'Расчет участников НИР'!$H57*(20%),IF(D47=FALSE,'Расчет участников НИР'!$H57*(10%),IF(G47=FALSE,'Расчет участников НИР'!$H57*(50%/3),'Расчет участников НИР'!$H57*'счеталка премий'!$T$6))),0)</f>
        <v>0</v>
      </c>
      <c r="K47" s="741">
        <f>IF(G47=TRUE,IF(AND(D47=FALSE,E47=FALSE,F47=FALSE),'Расчет участников НИР'!$H57*(50%),'Расчет участников НИР'!$H57*'счеталка премий'!$T$7),0)</f>
        <v>0</v>
      </c>
      <c r="L47" s="741">
        <f t="shared" si="7"/>
        <v>0</v>
      </c>
      <c r="M47" s="741">
        <f>'Расчет участников НИР'!H57</f>
        <v>0</v>
      </c>
      <c r="O47" s="747" t="e">
        <f t="shared" si="8"/>
        <v>#DIV/0!</v>
      </c>
      <c r="P47" s="747" t="e">
        <f t="shared" si="8"/>
        <v>#DIV/0!</v>
      </c>
      <c r="Q47" s="747" t="e">
        <f t="shared" si="8"/>
        <v>#DIV/0!</v>
      </c>
      <c r="R47" s="747" t="e">
        <f t="shared" si="8"/>
        <v>#DIV/0!</v>
      </c>
    </row>
    <row r="48" spans="1:20" x14ac:dyDescent="0.25">
      <c r="A48" s="745">
        <f>'Состав ВТК'!B51</f>
        <v>0</v>
      </c>
      <c r="B48" s="739">
        <f>'Состав ВТК'!L51</f>
        <v>0</v>
      </c>
      <c r="C48" s="739">
        <f>'Состав ВТК'!M51</f>
        <v>0</v>
      </c>
      <c r="D48" s="746" t="b">
        <f t="shared" si="1"/>
        <v>0</v>
      </c>
      <c r="E48" s="746" t="b">
        <f t="shared" si="2"/>
        <v>0</v>
      </c>
      <c r="F48" s="746" t="b">
        <f t="shared" si="3"/>
        <v>0</v>
      </c>
      <c r="G48" s="746" t="b">
        <f t="shared" si="4"/>
        <v>0</v>
      </c>
      <c r="H48" s="741">
        <f>IF(D48=TRUE,IF(E48=FALSE,'Расчет участников НИР'!$H58*(50%/1),IF(AND(E48=TRUE,F48=TRUE,G48=TRUE),'Расчет участников НИР'!$H58*'счеталка премий'!$T$6,IF(AND(E48=TRUE,F48=TRUE),'Расчет участников НИР'!$H58*(50%/3),'Расчет участников НИР'!$H58*(50%/2)))),0)</f>
        <v>0</v>
      </c>
      <c r="I48" s="741">
        <f>IF(E48=TRUE,IF(D48=FALSE,'Расчет участников НИР'!$H58*(10%),IF(F48=FALSE,'Расчет участников НИР'!$H58*(50%/2),IF(AND(F48=TRUE,G48=TRUE),'Расчет участников НИР'!$H58*'счеталка премий'!$T$6,'Расчет участников НИР'!$H58*(50%/3)))),0)</f>
        <v>0</v>
      </c>
      <c r="J48" s="741">
        <f>IF(F48=TRUE,IF(AND(D48=FALSE,E48=FALSE),'Расчет участников НИР'!$H58*(20%),IF(D48=FALSE,'Расчет участников НИР'!$H58*(10%),IF(G48=FALSE,'Расчет участников НИР'!$H58*(50%/3),'Расчет участников НИР'!$H58*'счеталка премий'!$T$6))),0)</f>
        <v>0</v>
      </c>
      <c r="K48" s="741">
        <f>IF(G48=TRUE,IF(AND(D48=FALSE,E48=FALSE,F48=FALSE),'Расчет участников НИР'!$H58*(50%),'Расчет участников НИР'!$H58*'счеталка премий'!$T$7),0)</f>
        <v>0</v>
      </c>
      <c r="L48" s="741">
        <f t="shared" si="7"/>
        <v>0</v>
      </c>
      <c r="M48" s="741">
        <f>'Расчет участников НИР'!H58</f>
        <v>0</v>
      </c>
      <c r="O48" s="747" t="e">
        <f t="shared" si="8"/>
        <v>#DIV/0!</v>
      </c>
      <c r="P48" s="747" t="e">
        <f t="shared" si="8"/>
        <v>#DIV/0!</v>
      </c>
      <c r="Q48" s="747" t="e">
        <f t="shared" si="8"/>
        <v>#DIV/0!</v>
      </c>
      <c r="R48" s="747" t="e">
        <f t="shared" si="8"/>
        <v>#DIV/0!</v>
      </c>
    </row>
    <row r="49" spans="1:18" x14ac:dyDescent="0.25">
      <c r="A49" s="745">
        <f>'Состав ВТК'!B52</f>
        <v>0</v>
      </c>
      <c r="B49" s="739">
        <f>'Состав ВТК'!L52</f>
        <v>0</v>
      </c>
      <c r="C49" s="739">
        <f>'Состав ВТК'!M52</f>
        <v>0</v>
      </c>
      <c r="D49" s="746" t="b">
        <f t="shared" si="1"/>
        <v>0</v>
      </c>
      <c r="E49" s="746" t="b">
        <f t="shared" si="2"/>
        <v>0</v>
      </c>
      <c r="F49" s="746" t="b">
        <f t="shared" si="3"/>
        <v>0</v>
      </c>
      <c r="G49" s="746" t="b">
        <f t="shared" si="4"/>
        <v>0</v>
      </c>
      <c r="H49" s="741">
        <f>IF(D49=TRUE,IF(E49=FALSE,'Расчет участников НИР'!$H59*(50%/1),IF(AND(E49=TRUE,F49=TRUE,G49=TRUE),'Расчет участников НИР'!$H59*'счеталка премий'!$T$6,IF(AND(E49=TRUE,F49=TRUE),'Расчет участников НИР'!$H59*(50%/3),'Расчет участников НИР'!$H59*(50%/2)))),0)</f>
        <v>0</v>
      </c>
      <c r="I49" s="741">
        <f>IF(E49=TRUE,IF(D49=FALSE,'Расчет участников НИР'!$H59*(10%),IF(F49=FALSE,'Расчет участников НИР'!$H59*(50%/2),IF(AND(F49=TRUE,G49=TRUE),'Расчет участников НИР'!$H59*'счеталка премий'!$T$6,'Расчет участников НИР'!$H59*(50%/3)))),0)</f>
        <v>0</v>
      </c>
      <c r="J49" s="741">
        <f>IF(F49=TRUE,IF(AND(D49=FALSE,E49=FALSE),'Расчет участников НИР'!$H59*(20%),IF(D49=FALSE,'Расчет участников НИР'!$H59*(10%),IF(G49=FALSE,'Расчет участников НИР'!$H59*(50%/3),'Расчет участников НИР'!$H59*'счеталка премий'!$T$6))),0)</f>
        <v>0</v>
      </c>
      <c r="K49" s="741">
        <f>IF(G49=TRUE,IF(AND(D49=FALSE,E49=FALSE,F49=FALSE),'Расчет участников НИР'!$H59*(50%),'Расчет участников НИР'!$H59*'счеталка премий'!$T$7),0)</f>
        <v>0</v>
      </c>
      <c r="L49" s="741">
        <f t="shared" si="7"/>
        <v>0</v>
      </c>
      <c r="M49" s="741">
        <f>'Расчет участников НИР'!H59</f>
        <v>0</v>
      </c>
      <c r="O49" s="747" t="e">
        <f t="shared" si="8"/>
        <v>#DIV/0!</v>
      </c>
      <c r="P49" s="747" t="e">
        <f t="shared" si="8"/>
        <v>#DIV/0!</v>
      </c>
      <c r="Q49" s="747" t="e">
        <f t="shared" si="8"/>
        <v>#DIV/0!</v>
      </c>
      <c r="R49" s="747" t="e">
        <f t="shared" si="8"/>
        <v>#DIV/0!</v>
      </c>
    </row>
    <row r="50" spans="1:18" x14ac:dyDescent="0.25">
      <c r="A50" s="745">
        <f>'Состав ВТК'!B53</f>
        <v>0</v>
      </c>
      <c r="B50" s="739">
        <f>'Состав ВТК'!L53</f>
        <v>0</v>
      </c>
      <c r="C50" s="739">
        <f>'Состав ВТК'!M53</f>
        <v>0</v>
      </c>
      <c r="D50" s="746" t="b">
        <f t="shared" si="1"/>
        <v>0</v>
      </c>
      <c r="E50" s="746" t="b">
        <f t="shared" si="2"/>
        <v>0</v>
      </c>
      <c r="F50" s="746" t="b">
        <f t="shared" si="3"/>
        <v>0</v>
      </c>
      <c r="G50" s="746" t="b">
        <f t="shared" si="4"/>
        <v>0</v>
      </c>
      <c r="H50" s="741">
        <f>IF(D50=TRUE,IF(E50=FALSE,'Расчет участников НИР'!$H60*(50%/1),IF(AND(E50=TRUE,F50=TRUE,G50=TRUE),'Расчет участников НИР'!$H60*'счеталка премий'!$T$6,IF(AND(E50=TRUE,F50=TRUE),'Расчет участников НИР'!$H60*(50%/3),'Расчет участников НИР'!$H60*(50%/2)))),0)</f>
        <v>0</v>
      </c>
      <c r="I50" s="741">
        <f>IF(E50=TRUE,IF(D50=FALSE,'Расчет участников НИР'!$H60*(10%),IF(F50=FALSE,'Расчет участников НИР'!$H60*(50%/2),IF(AND(F50=TRUE,G50=TRUE),'Расчет участников НИР'!$H60*'счеталка премий'!$T$6,'Расчет участников НИР'!$H60*(50%/3)))),0)</f>
        <v>0</v>
      </c>
      <c r="J50" s="741">
        <f>IF(F50=TRUE,IF(AND(D50=FALSE,E50=FALSE),'Расчет участников НИР'!$H60*(20%),IF(D50=FALSE,'Расчет участников НИР'!$H60*(10%),IF(G50=FALSE,'Расчет участников НИР'!$H60*(50%/3),'Расчет участников НИР'!$H60*'счеталка премий'!$T$6))),0)</f>
        <v>0</v>
      </c>
      <c r="K50" s="741">
        <f>IF(G50=TRUE,IF(AND(D50=FALSE,E50=FALSE,F50=FALSE),'Расчет участников НИР'!$H60*(50%),'Расчет участников НИР'!$H60*'счеталка премий'!$T$7),0)</f>
        <v>0</v>
      </c>
      <c r="L50" s="741">
        <f t="shared" si="7"/>
        <v>0</v>
      </c>
      <c r="M50" s="741">
        <f>'Расчет участников НИР'!H60</f>
        <v>0</v>
      </c>
      <c r="O50" s="747" t="e">
        <f t="shared" si="8"/>
        <v>#DIV/0!</v>
      </c>
      <c r="P50" s="747" t="e">
        <f t="shared" si="8"/>
        <v>#DIV/0!</v>
      </c>
      <c r="Q50" s="747" t="e">
        <f t="shared" si="8"/>
        <v>#DIV/0!</v>
      </c>
      <c r="R50" s="747" t="e">
        <f t="shared" si="8"/>
        <v>#DIV/0!</v>
      </c>
    </row>
    <row r="51" spans="1:18" x14ac:dyDescent="0.25">
      <c r="A51" s="745">
        <f>'Состав ВТК'!B54</f>
        <v>0</v>
      </c>
      <c r="B51" s="739">
        <f>'Состав ВТК'!L54</f>
        <v>0</v>
      </c>
      <c r="C51" s="739">
        <f>'Состав ВТК'!M54</f>
        <v>0</v>
      </c>
      <c r="D51" s="746" t="b">
        <f t="shared" si="1"/>
        <v>0</v>
      </c>
      <c r="E51" s="746" t="b">
        <f t="shared" si="2"/>
        <v>0</v>
      </c>
      <c r="F51" s="746" t="b">
        <f t="shared" si="3"/>
        <v>0</v>
      </c>
      <c r="G51" s="746" t="b">
        <f t="shared" si="4"/>
        <v>0</v>
      </c>
      <c r="H51" s="741">
        <f>IF(D51=TRUE,IF(E51=FALSE,'Расчет участников НИР'!$H61*(50%/1),IF(AND(E51=TRUE,F51=TRUE,G51=TRUE),'Расчет участников НИР'!$H61*'счеталка премий'!$T$6,IF(AND(E51=TRUE,F51=TRUE),'Расчет участников НИР'!$H61*(50%/3),'Расчет участников НИР'!$H61*(50%/2)))),0)</f>
        <v>0</v>
      </c>
      <c r="I51" s="741">
        <f>IF(E51=TRUE,IF(D51=FALSE,'Расчет участников НИР'!$H61*(10%),IF(F51=FALSE,'Расчет участников НИР'!$H61*(50%/2),IF(AND(F51=TRUE,G51=TRUE),'Расчет участников НИР'!$H61*'счеталка премий'!$T$6,'Расчет участников НИР'!$H61*(50%/3)))),0)</f>
        <v>0</v>
      </c>
      <c r="J51" s="741">
        <f>IF(F51=TRUE,IF(AND(D51=FALSE,E51=FALSE),'Расчет участников НИР'!$H61*(20%),IF(D51=FALSE,'Расчет участников НИР'!$H61*(10%),IF(G51=FALSE,'Расчет участников НИР'!$H61*(50%/3),'Расчет участников НИР'!$H61*'счеталка премий'!$T$6))),0)</f>
        <v>0</v>
      </c>
      <c r="K51" s="741">
        <f>IF(G51=TRUE,IF(AND(D51=FALSE,E51=FALSE,F51=FALSE),'Расчет участников НИР'!$H61*(50%),'Расчет участников НИР'!$H61*'счеталка премий'!$T$7),0)</f>
        <v>0</v>
      </c>
      <c r="L51" s="741">
        <f t="shared" si="7"/>
        <v>0</v>
      </c>
      <c r="M51" s="741">
        <f>'Расчет участников НИР'!H61</f>
        <v>0</v>
      </c>
      <c r="O51" s="747" t="e">
        <f t="shared" si="8"/>
        <v>#DIV/0!</v>
      </c>
      <c r="P51" s="747" t="e">
        <f t="shared" si="8"/>
        <v>#DIV/0!</v>
      </c>
      <c r="Q51" s="747" t="e">
        <f t="shared" si="8"/>
        <v>#DIV/0!</v>
      </c>
      <c r="R51" s="747" t="e">
        <f t="shared" si="8"/>
        <v>#DIV/0!</v>
      </c>
    </row>
    <row r="52" spans="1:18" x14ac:dyDescent="0.25">
      <c r="A52" s="745">
        <f>'Состав ВТК'!B55</f>
        <v>0</v>
      </c>
      <c r="B52" s="739">
        <f>'Состав ВТК'!L55</f>
        <v>0</v>
      </c>
      <c r="C52" s="739">
        <f>'Состав ВТК'!M55</f>
        <v>0</v>
      </c>
      <c r="D52" s="746" t="b">
        <f t="shared" si="1"/>
        <v>0</v>
      </c>
      <c r="E52" s="746" t="b">
        <f t="shared" si="2"/>
        <v>0</v>
      </c>
      <c r="F52" s="746" t="b">
        <f t="shared" si="3"/>
        <v>0</v>
      </c>
      <c r="G52" s="746" t="b">
        <f t="shared" si="4"/>
        <v>0</v>
      </c>
      <c r="H52" s="741">
        <f>IF(D52=TRUE,IF(E52=FALSE,'Расчет участников НИР'!$H62*(50%/1),IF(AND(E52=TRUE,F52=TRUE,G52=TRUE),'Расчет участников НИР'!$H62*'счеталка премий'!$T$6,IF(AND(E52=TRUE,F52=TRUE),'Расчет участников НИР'!$H62*(50%/3),'Расчет участников НИР'!$H62*(50%/2)))),0)</f>
        <v>0</v>
      </c>
      <c r="I52" s="741">
        <f>IF(E52=TRUE,IF(D52=FALSE,'Расчет участников НИР'!$H62*(10%),IF(F52=FALSE,'Расчет участников НИР'!$H62*(50%/2),IF(AND(F52=TRUE,G52=TRUE),'Расчет участников НИР'!$H62*'счеталка премий'!$T$6,'Расчет участников НИР'!$H62*(50%/3)))),0)</f>
        <v>0</v>
      </c>
      <c r="J52" s="741">
        <f>IF(F52=TRUE,IF(AND(D52=FALSE,E52=FALSE),'Расчет участников НИР'!$H62*(20%),IF(D52=FALSE,'Расчет участников НИР'!$H62*(10%),IF(G52=FALSE,'Расчет участников НИР'!$H62*(50%/3),'Расчет участников НИР'!$H62*'счеталка премий'!$T$6))),0)</f>
        <v>0</v>
      </c>
      <c r="K52" s="741">
        <f>IF(G52=TRUE,IF(AND(D52=FALSE,E52=FALSE,F52=FALSE),'Расчет участников НИР'!$H62*(50%),'Расчет участников НИР'!$H62*'счеталка премий'!$T$7),0)</f>
        <v>0</v>
      </c>
      <c r="L52" s="741">
        <f t="shared" si="7"/>
        <v>0</v>
      </c>
      <c r="M52" s="741">
        <f>'Расчет участников НИР'!H62</f>
        <v>0</v>
      </c>
      <c r="O52" s="747" t="e">
        <f t="shared" si="8"/>
        <v>#DIV/0!</v>
      </c>
      <c r="P52" s="747" t="e">
        <f t="shared" si="8"/>
        <v>#DIV/0!</v>
      </c>
      <c r="Q52" s="747" t="e">
        <f t="shared" si="8"/>
        <v>#DIV/0!</v>
      </c>
      <c r="R52" s="747" t="e">
        <f t="shared" si="8"/>
        <v>#DIV/0!</v>
      </c>
    </row>
    <row r="53" spans="1:18" x14ac:dyDescent="0.25">
      <c r="A53" s="745">
        <f>'Состав ВТК'!B56</f>
        <v>0</v>
      </c>
      <c r="B53" s="739">
        <f>'Состав ВТК'!L56</f>
        <v>0</v>
      </c>
      <c r="C53" s="739">
        <f>'Состав ВТК'!M56</f>
        <v>0</v>
      </c>
      <c r="D53" s="746" t="b">
        <f t="shared" si="1"/>
        <v>0</v>
      </c>
      <c r="E53" s="746" t="b">
        <f t="shared" si="2"/>
        <v>0</v>
      </c>
      <c r="F53" s="746" t="b">
        <f t="shared" si="3"/>
        <v>0</v>
      </c>
      <c r="G53" s="746" t="b">
        <f t="shared" si="4"/>
        <v>0</v>
      </c>
      <c r="H53" s="741">
        <f>IF(D53=TRUE,IF(E53=FALSE,'Расчет участников НИР'!$H63*(50%/1),IF(AND(E53=TRUE,F53=TRUE,G53=TRUE),'Расчет участников НИР'!$H63*'счеталка премий'!$T$6,IF(AND(E53=TRUE,F53=TRUE),'Расчет участников НИР'!$H63*(50%/3),'Расчет участников НИР'!$H63*(50%/2)))),0)</f>
        <v>0</v>
      </c>
      <c r="I53" s="741">
        <f>IF(E53=TRUE,IF(D53=FALSE,'Расчет участников НИР'!$H63*(10%),IF(F53=FALSE,'Расчет участников НИР'!$H63*(50%/2),IF(AND(F53=TRUE,G53=TRUE),'Расчет участников НИР'!$H63*'счеталка премий'!$T$6,'Расчет участников НИР'!$H63*(50%/3)))),0)</f>
        <v>0</v>
      </c>
      <c r="J53" s="741">
        <f>IF(F53=TRUE,IF(AND(D53=FALSE,E53=FALSE),'Расчет участников НИР'!$H63*(20%),IF(D53=FALSE,'Расчет участников НИР'!$H63*(10%),IF(G53=FALSE,'Расчет участников НИР'!$H63*(50%/3),'Расчет участников НИР'!$H63*'счеталка премий'!$T$6))),0)</f>
        <v>0</v>
      </c>
      <c r="K53" s="741">
        <f>IF(G53=TRUE,IF(AND(D53=FALSE,E53=FALSE,F53=FALSE),'Расчет участников НИР'!$H63*(50%),'Расчет участников НИР'!$H63*'счеталка премий'!$T$7),0)</f>
        <v>0</v>
      </c>
      <c r="L53" s="741">
        <f t="shared" si="7"/>
        <v>0</v>
      </c>
      <c r="M53" s="741">
        <f>'Расчет участников НИР'!H63</f>
        <v>0</v>
      </c>
      <c r="O53" s="747" t="e">
        <f t="shared" si="8"/>
        <v>#DIV/0!</v>
      </c>
      <c r="P53" s="747" t="e">
        <f t="shared" si="8"/>
        <v>#DIV/0!</v>
      </c>
      <c r="Q53" s="747" t="e">
        <f t="shared" si="8"/>
        <v>#DIV/0!</v>
      </c>
      <c r="R53" s="747" t="e">
        <f t="shared" si="8"/>
        <v>#DIV/0!</v>
      </c>
    </row>
    <row r="54" spans="1:18" x14ac:dyDescent="0.25">
      <c r="A54" s="745">
        <f>'Состав ВТК'!B57</f>
        <v>0</v>
      </c>
      <c r="B54" s="739">
        <f>'Состав ВТК'!L57</f>
        <v>0</v>
      </c>
      <c r="C54" s="739">
        <f>'Состав ВТК'!M57</f>
        <v>0</v>
      </c>
      <c r="D54" s="746" t="b">
        <f t="shared" si="1"/>
        <v>0</v>
      </c>
      <c r="E54" s="746" t="b">
        <f t="shared" si="2"/>
        <v>0</v>
      </c>
      <c r="F54" s="746" t="b">
        <f t="shared" si="3"/>
        <v>0</v>
      </c>
      <c r="G54" s="746" t="b">
        <f t="shared" si="4"/>
        <v>0</v>
      </c>
      <c r="H54" s="741">
        <f>IF(D54=TRUE,IF(E54=FALSE,'Расчет участников НИР'!$H64*(50%/1),IF(AND(E54=TRUE,F54=TRUE,G54=TRUE),'Расчет участников НИР'!$H64*'счеталка премий'!$T$6,IF(AND(E54=TRUE,F54=TRUE),'Расчет участников НИР'!$H64*(50%/3),'Расчет участников НИР'!$H64*(50%/2)))),0)</f>
        <v>0</v>
      </c>
      <c r="I54" s="741">
        <f>IF(E54=TRUE,IF(D54=FALSE,'Расчет участников НИР'!$H64*(10%),IF(F54=FALSE,'Расчет участников НИР'!$H64*(50%/2),IF(AND(F54=TRUE,G54=TRUE),'Расчет участников НИР'!$H64*'счеталка премий'!$T$6,'Расчет участников НИР'!$H64*(50%/3)))),0)</f>
        <v>0</v>
      </c>
      <c r="J54" s="741">
        <f>IF(F54=TRUE,IF(AND(D54=FALSE,E54=FALSE),'Расчет участников НИР'!$H64*(20%),IF(D54=FALSE,'Расчет участников НИР'!$H64*(10%),IF(G54=FALSE,'Расчет участников НИР'!$H64*(50%/3),'Расчет участников НИР'!$H64*'счеталка премий'!$T$6))),0)</f>
        <v>0</v>
      </c>
      <c r="K54" s="741">
        <f>IF(G54=TRUE,IF(AND(D54=FALSE,E54=FALSE,F54=FALSE),'Расчет участников НИР'!$H64*(50%),'Расчет участников НИР'!$H64*'счеталка премий'!$T$7),0)</f>
        <v>0</v>
      </c>
      <c r="L54" s="741">
        <f t="shared" si="7"/>
        <v>0</v>
      </c>
      <c r="M54" s="741">
        <f>'Расчет участников НИР'!H64</f>
        <v>0</v>
      </c>
      <c r="O54" s="747" t="e">
        <f t="shared" si="8"/>
        <v>#DIV/0!</v>
      </c>
      <c r="P54" s="747" t="e">
        <f t="shared" si="8"/>
        <v>#DIV/0!</v>
      </c>
      <c r="Q54" s="747" t="e">
        <f t="shared" si="8"/>
        <v>#DIV/0!</v>
      </c>
      <c r="R54" s="747" t="e">
        <f t="shared" si="8"/>
        <v>#DIV/0!</v>
      </c>
    </row>
    <row r="55" spans="1:18" x14ac:dyDescent="0.25">
      <c r="A55" s="745">
        <f>'Состав ВТК'!B58</f>
        <v>0</v>
      </c>
      <c r="B55" s="739">
        <f>'Состав ВТК'!L58</f>
        <v>0</v>
      </c>
      <c r="C55" s="739">
        <f>'Состав ВТК'!M58</f>
        <v>0</v>
      </c>
      <c r="D55" s="746" t="b">
        <f t="shared" si="1"/>
        <v>0</v>
      </c>
      <c r="E55" s="746" t="b">
        <f t="shared" si="2"/>
        <v>0</v>
      </c>
      <c r="F55" s="746" t="b">
        <f t="shared" si="3"/>
        <v>0</v>
      </c>
      <c r="G55" s="746" t="b">
        <f t="shared" si="4"/>
        <v>0</v>
      </c>
      <c r="H55" s="741">
        <f>IF(D55=TRUE,IF(E55=FALSE,'Расчет участников НИР'!$H65*(50%/1),IF(AND(E55=TRUE,F55=TRUE,G55=TRUE),'Расчет участников НИР'!$H65*'счеталка премий'!$T$6,IF(AND(E55=TRUE,F55=TRUE),'Расчет участников НИР'!$H65*(50%/3),'Расчет участников НИР'!$H65*(50%/2)))),0)</f>
        <v>0</v>
      </c>
      <c r="I55" s="741">
        <f>IF(E55=TRUE,IF(D55=FALSE,'Расчет участников НИР'!$H65*(10%),IF(F55=FALSE,'Расчет участников НИР'!$H65*(50%/2),IF(AND(F55=TRUE,G55=TRUE),'Расчет участников НИР'!$H65*'счеталка премий'!$T$6,'Расчет участников НИР'!$H65*(50%/3)))),0)</f>
        <v>0</v>
      </c>
      <c r="J55" s="741">
        <f>IF(F55=TRUE,IF(AND(D55=FALSE,E55=FALSE),'Расчет участников НИР'!$H65*(20%),IF(D55=FALSE,'Расчет участников НИР'!$H65*(10%),IF(G55=FALSE,'Расчет участников НИР'!$H65*(50%/3),'Расчет участников НИР'!$H65*'счеталка премий'!$T$6))),0)</f>
        <v>0</v>
      </c>
      <c r="K55" s="741">
        <f>IF(G55=TRUE,IF(AND(D55=FALSE,E55=FALSE,F55=FALSE),'Расчет участников НИР'!$H65*(50%),'Расчет участников НИР'!$H65*'счеталка премий'!$T$7),0)</f>
        <v>0</v>
      </c>
      <c r="L55" s="741">
        <f t="shared" si="7"/>
        <v>0</v>
      </c>
      <c r="M55" s="741">
        <f>'Расчет участников НИР'!H65</f>
        <v>0</v>
      </c>
      <c r="O55" s="747" t="e">
        <f t="shared" si="8"/>
        <v>#DIV/0!</v>
      </c>
      <c r="P55" s="747" t="e">
        <f t="shared" si="8"/>
        <v>#DIV/0!</v>
      </c>
      <c r="Q55" s="747" t="e">
        <f t="shared" si="8"/>
        <v>#DIV/0!</v>
      </c>
      <c r="R55" s="747" t="e">
        <f t="shared" si="8"/>
        <v>#DIV/0!</v>
      </c>
    </row>
    <row r="56" spans="1:18" x14ac:dyDescent="0.25">
      <c r="A56" s="745">
        <f>'Состав ВТК'!B59</f>
        <v>0</v>
      </c>
      <c r="B56" s="739">
        <f>'Состав ВТК'!L59</f>
        <v>0</v>
      </c>
      <c r="C56" s="739">
        <f>'Состав ВТК'!M59</f>
        <v>0</v>
      </c>
      <c r="D56" s="746" t="b">
        <f t="shared" si="1"/>
        <v>0</v>
      </c>
      <c r="E56" s="746" t="b">
        <f t="shared" si="2"/>
        <v>0</v>
      </c>
      <c r="F56" s="746" t="b">
        <f t="shared" si="3"/>
        <v>0</v>
      </c>
      <c r="G56" s="746" t="b">
        <f t="shared" si="4"/>
        <v>0</v>
      </c>
      <c r="H56" s="741">
        <f>IF(D56=TRUE,IF(E56=FALSE,'Расчет участников НИР'!$H66*(50%/1),IF(AND(E56=TRUE,F56=TRUE,G56=TRUE),'Расчет участников НИР'!$H66*'счеталка премий'!$T$6,IF(AND(E56=TRUE,F56=TRUE),'Расчет участников НИР'!$H66*(50%/3),'Расчет участников НИР'!$H66*(50%/2)))),0)</f>
        <v>0</v>
      </c>
      <c r="I56" s="741">
        <f>IF(E56=TRUE,IF(D56=FALSE,'Расчет участников НИР'!$H66*(10%),IF(F56=FALSE,'Расчет участников НИР'!$H66*(50%/2),IF(AND(F56=TRUE,G56=TRUE),'Расчет участников НИР'!$H66*'счеталка премий'!$T$6,'Расчет участников НИР'!$H66*(50%/3)))),0)</f>
        <v>0</v>
      </c>
      <c r="J56" s="741">
        <f>IF(F56=TRUE,IF(AND(D56=FALSE,E56=FALSE),'Расчет участников НИР'!$H66*(20%),IF(D56=FALSE,'Расчет участников НИР'!$H66*(10%),IF(G56=FALSE,'Расчет участников НИР'!$H66*(50%/3),'Расчет участников НИР'!$H66*'счеталка премий'!$T$6))),0)</f>
        <v>0</v>
      </c>
      <c r="K56" s="741">
        <f>IF(G56=TRUE,IF(AND(D56=FALSE,E56=FALSE,F56=FALSE),'Расчет участников НИР'!$H66*(50%),'Расчет участников НИР'!$H66*'счеталка премий'!$T$7),0)</f>
        <v>0</v>
      </c>
      <c r="L56" s="741">
        <f t="shared" si="7"/>
        <v>0</v>
      </c>
      <c r="M56" s="741">
        <f>'Расчет участников НИР'!H66</f>
        <v>0</v>
      </c>
      <c r="O56" s="747" t="e">
        <f t="shared" si="8"/>
        <v>#DIV/0!</v>
      </c>
      <c r="P56" s="747" t="e">
        <f t="shared" si="8"/>
        <v>#DIV/0!</v>
      </c>
      <c r="Q56" s="747" t="e">
        <f t="shared" si="8"/>
        <v>#DIV/0!</v>
      </c>
      <c r="R56" s="747" t="e">
        <f t="shared" si="8"/>
        <v>#DIV/0!</v>
      </c>
    </row>
    <row r="57" spans="1:18" x14ac:dyDescent="0.25">
      <c r="A57" s="745">
        <f>'Состав ВТК'!B60</f>
        <v>0</v>
      </c>
      <c r="B57" s="739">
        <f>'Состав ВТК'!L60</f>
        <v>0</v>
      </c>
      <c r="C57" s="739">
        <f>'Состав ВТК'!M60</f>
        <v>0</v>
      </c>
      <c r="D57" s="746" t="b">
        <f t="shared" si="1"/>
        <v>0</v>
      </c>
      <c r="E57" s="746" t="b">
        <f t="shared" si="2"/>
        <v>0</v>
      </c>
      <c r="F57" s="746" t="b">
        <f t="shared" si="3"/>
        <v>0</v>
      </c>
      <c r="G57" s="746" t="b">
        <f t="shared" si="4"/>
        <v>0</v>
      </c>
      <c r="H57" s="741">
        <f>IF(D57=TRUE,IF(E57=FALSE,'Расчет участников НИР'!$H67*(50%/1),IF(AND(E57=TRUE,F57=TRUE,G57=TRUE),'Расчет участников НИР'!$H67*'счеталка премий'!$T$6,IF(AND(E57=TRUE,F57=TRUE),'Расчет участников НИР'!$H67*(50%/3),'Расчет участников НИР'!$H67*(50%/2)))),0)</f>
        <v>0</v>
      </c>
      <c r="I57" s="741">
        <f>IF(E57=TRUE,IF(D57=FALSE,'Расчет участников НИР'!$H67*(10%),IF(F57=FALSE,'Расчет участников НИР'!$H67*(50%/2),IF(AND(F57=TRUE,G57=TRUE),'Расчет участников НИР'!$H67*'счеталка премий'!$T$6,'Расчет участников НИР'!$H67*(50%/3)))),0)</f>
        <v>0</v>
      </c>
      <c r="J57" s="741">
        <f>IF(F57=TRUE,IF(AND(D57=FALSE,E57=FALSE),'Расчет участников НИР'!$H67*(20%),IF(D57=FALSE,'Расчет участников НИР'!$H67*(10%),IF(G57=FALSE,'Расчет участников НИР'!$H67*(50%/3),'Расчет участников НИР'!$H67*'счеталка премий'!$T$6))),0)</f>
        <v>0</v>
      </c>
      <c r="K57" s="741">
        <f>IF(G57=TRUE,IF(AND(D57=FALSE,E57=FALSE,F57=FALSE),'Расчет участников НИР'!$H67*(50%),'Расчет участников НИР'!$H67*'счеталка премий'!$T$7),0)</f>
        <v>0</v>
      </c>
      <c r="L57" s="741">
        <f t="shared" si="7"/>
        <v>0</v>
      </c>
      <c r="M57" s="741">
        <f>'Расчет участников НИР'!H67</f>
        <v>0</v>
      </c>
      <c r="O57" s="747" t="e">
        <f t="shared" si="8"/>
        <v>#DIV/0!</v>
      </c>
      <c r="P57" s="747" t="e">
        <f t="shared" si="8"/>
        <v>#DIV/0!</v>
      </c>
      <c r="Q57" s="747" t="e">
        <f t="shared" si="8"/>
        <v>#DIV/0!</v>
      </c>
      <c r="R57" s="747" t="e">
        <f t="shared" si="8"/>
        <v>#DIV/0!</v>
      </c>
    </row>
    <row r="58" spans="1:18" x14ac:dyDescent="0.25">
      <c r="A58" s="745">
        <f>'Состав ВТК'!B61</f>
        <v>0</v>
      </c>
      <c r="B58" s="739">
        <f>'Состав ВТК'!L61</f>
        <v>0</v>
      </c>
      <c r="C58" s="739">
        <f>'Состав ВТК'!M61</f>
        <v>0</v>
      </c>
      <c r="D58" s="746" t="b">
        <f t="shared" si="1"/>
        <v>0</v>
      </c>
      <c r="E58" s="746" t="b">
        <f t="shared" si="2"/>
        <v>0</v>
      </c>
      <c r="F58" s="746" t="b">
        <f t="shared" si="3"/>
        <v>0</v>
      </c>
      <c r="G58" s="746" t="b">
        <f t="shared" si="4"/>
        <v>0</v>
      </c>
      <c r="H58" s="741">
        <f>IF(D58=TRUE,IF(E58=FALSE,'Расчет участников НИР'!$H68*(50%/1),IF(AND(E58=TRUE,F58=TRUE,G58=TRUE),'Расчет участников НИР'!$H68*'счеталка премий'!$T$6,IF(AND(E58=TRUE,F58=TRUE),'Расчет участников НИР'!$H68*(50%/3),'Расчет участников НИР'!$H68*(50%/2)))),0)</f>
        <v>0</v>
      </c>
      <c r="I58" s="741">
        <f>IF(E58=TRUE,IF(D58=FALSE,'Расчет участников НИР'!$H68*(10%),IF(F58=FALSE,'Расчет участников НИР'!$H68*(50%/2),IF(AND(F58=TRUE,G58=TRUE),'Расчет участников НИР'!$H68*'счеталка премий'!$T$6,'Расчет участников НИР'!$H68*(50%/3)))),0)</f>
        <v>0</v>
      </c>
      <c r="J58" s="741">
        <f>IF(F58=TRUE,IF(AND(D58=FALSE,E58=FALSE),'Расчет участников НИР'!$H68*(20%),IF(D58=FALSE,'Расчет участников НИР'!$H68*(10%),IF(G58=FALSE,'Расчет участников НИР'!$H68*(50%/3),'Расчет участников НИР'!$H68*'счеталка премий'!$T$6))),0)</f>
        <v>0</v>
      </c>
      <c r="K58" s="741">
        <f>IF(G58=TRUE,IF(AND(D58=FALSE,E58=FALSE,F58=FALSE),'Расчет участников НИР'!$H68*(50%),'Расчет участников НИР'!$H68*'счеталка премий'!$T$7),0)</f>
        <v>0</v>
      </c>
      <c r="L58" s="741">
        <f t="shared" si="7"/>
        <v>0</v>
      </c>
      <c r="M58" s="741">
        <f>'Расчет участников НИР'!H68</f>
        <v>0</v>
      </c>
      <c r="O58" s="747" t="e">
        <f t="shared" si="8"/>
        <v>#DIV/0!</v>
      </c>
      <c r="P58" s="747" t="e">
        <f t="shared" si="8"/>
        <v>#DIV/0!</v>
      </c>
      <c r="Q58" s="747" t="e">
        <f t="shared" si="8"/>
        <v>#DIV/0!</v>
      </c>
      <c r="R58" s="747" t="e">
        <f t="shared" si="8"/>
        <v>#DIV/0!</v>
      </c>
    </row>
    <row r="59" spans="1:18" x14ac:dyDescent="0.25">
      <c r="A59" s="745">
        <f>'Состав ВТК'!B62</f>
        <v>0</v>
      </c>
      <c r="B59" s="739">
        <f>'Состав ВТК'!L62</f>
        <v>0</v>
      </c>
      <c r="C59" s="739">
        <f>'Состав ВТК'!M62</f>
        <v>0</v>
      </c>
      <c r="D59" s="746" t="b">
        <f t="shared" si="1"/>
        <v>0</v>
      </c>
      <c r="E59" s="746" t="b">
        <f t="shared" si="2"/>
        <v>0</v>
      </c>
      <c r="F59" s="746" t="b">
        <f t="shared" si="3"/>
        <v>0</v>
      </c>
      <c r="G59" s="746" t="b">
        <f t="shared" si="4"/>
        <v>0</v>
      </c>
      <c r="H59" s="741">
        <f>IF(D59=TRUE,IF(E59=FALSE,'Расчет участников НИР'!$H69*(50%/1),IF(AND(E59=TRUE,F59=TRUE,G59=TRUE),'Расчет участников НИР'!$H69*'счеталка премий'!$T$6,IF(AND(E59=TRUE,F59=TRUE),'Расчет участников НИР'!$H69*(50%/3),'Расчет участников НИР'!$H69*(50%/2)))),0)</f>
        <v>0</v>
      </c>
      <c r="I59" s="741">
        <f>IF(E59=TRUE,IF(D59=FALSE,'Расчет участников НИР'!$H69*(10%),IF(F59=FALSE,'Расчет участников НИР'!$H69*(50%/2),IF(AND(F59=TRUE,G59=TRUE),'Расчет участников НИР'!$H69*'счеталка премий'!$T$6,'Расчет участников НИР'!$H69*(50%/3)))),0)</f>
        <v>0</v>
      </c>
      <c r="J59" s="741">
        <f>IF(F59=TRUE,IF(AND(D59=FALSE,E59=FALSE),'Расчет участников НИР'!$H69*(20%),IF(D59=FALSE,'Расчет участников НИР'!$H69*(10%),IF(G59=FALSE,'Расчет участников НИР'!$H69*(50%/3),'Расчет участников НИР'!$H69*'счеталка премий'!$T$6))),0)</f>
        <v>0</v>
      </c>
      <c r="K59" s="741">
        <f>IF(G59=TRUE,IF(AND(D59=FALSE,E59=FALSE,F59=FALSE),'Расчет участников НИР'!$H69*(50%),'Расчет участников НИР'!$H69*'счеталка премий'!$T$7),0)</f>
        <v>0</v>
      </c>
      <c r="L59" s="741">
        <f t="shared" si="7"/>
        <v>0</v>
      </c>
      <c r="M59" s="741">
        <f>'Расчет участников НИР'!H69</f>
        <v>0</v>
      </c>
      <c r="O59" s="747" t="e">
        <f t="shared" si="8"/>
        <v>#DIV/0!</v>
      </c>
      <c r="P59" s="747" t="e">
        <f t="shared" si="8"/>
        <v>#DIV/0!</v>
      </c>
      <c r="Q59" s="747" t="e">
        <f t="shared" si="8"/>
        <v>#DIV/0!</v>
      </c>
      <c r="R59" s="747" t="e">
        <f t="shared" si="8"/>
        <v>#DIV/0!</v>
      </c>
    </row>
    <row r="60" spans="1:18" x14ac:dyDescent="0.25">
      <c r="A60" s="745">
        <f>'Состав ВТК'!B63</f>
        <v>0</v>
      </c>
      <c r="B60" s="739">
        <f>'Состав ВТК'!L63</f>
        <v>0</v>
      </c>
      <c r="C60" s="739">
        <f>'Состав ВТК'!M63</f>
        <v>0</v>
      </c>
      <c r="D60" s="746" t="b">
        <f t="shared" si="1"/>
        <v>0</v>
      </c>
      <c r="E60" s="746" t="b">
        <f t="shared" si="2"/>
        <v>0</v>
      </c>
      <c r="F60" s="746" t="b">
        <f t="shared" si="3"/>
        <v>0</v>
      </c>
      <c r="G60" s="746" t="b">
        <f t="shared" si="4"/>
        <v>0</v>
      </c>
      <c r="H60" s="741">
        <f>IF(D60=TRUE,IF(E60=FALSE,'Расчет участников НИР'!$H70*(50%/1),IF(AND(E60=TRUE,F60=TRUE,G60=TRUE),'Расчет участников НИР'!$H70*'счеталка премий'!$T$6,IF(AND(E60=TRUE,F60=TRUE),'Расчет участников НИР'!$H70*(50%/3),'Расчет участников НИР'!$H70*(50%/2)))),0)</f>
        <v>0</v>
      </c>
      <c r="I60" s="741">
        <f>IF(E60=TRUE,IF(D60=FALSE,'Расчет участников НИР'!$H70*(10%),IF(F60=FALSE,'Расчет участников НИР'!$H70*(50%/2),IF(AND(F60=TRUE,G60=TRUE),'Расчет участников НИР'!$H70*'счеталка премий'!$T$6,'Расчет участников НИР'!$H70*(50%/3)))),0)</f>
        <v>0</v>
      </c>
      <c r="J60" s="741">
        <f>IF(F60=TRUE,IF(AND(D60=FALSE,E60=FALSE),'Расчет участников НИР'!$H70*(20%),IF(D60=FALSE,'Расчет участников НИР'!$H70*(10%),IF(G60=FALSE,'Расчет участников НИР'!$H70*(50%/3),'Расчет участников НИР'!$H70*'счеталка премий'!$T$6))),0)</f>
        <v>0</v>
      </c>
      <c r="K60" s="741">
        <f>IF(G60=TRUE,IF(AND(D60=FALSE,E60=FALSE,F60=FALSE),'Расчет участников НИР'!$H70*(50%),'Расчет участников НИР'!$H70*'счеталка премий'!$T$7),0)</f>
        <v>0</v>
      </c>
      <c r="L60" s="741">
        <f t="shared" si="7"/>
        <v>0</v>
      </c>
      <c r="M60" s="741">
        <f>'Расчет участников НИР'!H70</f>
        <v>0</v>
      </c>
      <c r="O60" s="747" t="e">
        <f t="shared" si="8"/>
        <v>#DIV/0!</v>
      </c>
      <c r="P60" s="747" t="e">
        <f t="shared" si="8"/>
        <v>#DIV/0!</v>
      </c>
      <c r="Q60" s="747" t="e">
        <f t="shared" si="8"/>
        <v>#DIV/0!</v>
      </c>
      <c r="R60" s="747" t="e">
        <f t="shared" si="8"/>
        <v>#DIV/0!</v>
      </c>
    </row>
    <row r="61" spans="1:18" x14ac:dyDescent="0.25">
      <c r="A61" s="745">
        <f>'Состав ВТК'!B64</f>
        <v>0</v>
      </c>
      <c r="B61" s="739">
        <f>'Состав ВТК'!L64</f>
        <v>0</v>
      </c>
      <c r="C61" s="739">
        <f>'Состав ВТК'!M64</f>
        <v>0</v>
      </c>
      <c r="D61" s="746" t="b">
        <f t="shared" si="1"/>
        <v>0</v>
      </c>
      <c r="E61" s="746" t="b">
        <f t="shared" si="2"/>
        <v>0</v>
      </c>
      <c r="F61" s="746" t="b">
        <f t="shared" si="3"/>
        <v>0</v>
      </c>
      <c r="G61" s="746" t="b">
        <f t="shared" si="4"/>
        <v>0</v>
      </c>
      <c r="H61" s="741">
        <f>IF(D61=TRUE,IF(E61=FALSE,'Расчет участников НИР'!$H71*(50%/1),IF(AND(E61=TRUE,F61=TRUE,G61=TRUE),'Расчет участников НИР'!$H71*'счеталка премий'!$T$6,IF(AND(E61=TRUE,F61=TRUE),'Расчет участников НИР'!$H71*(50%/3),'Расчет участников НИР'!$H71*(50%/2)))),0)</f>
        <v>0</v>
      </c>
      <c r="I61" s="741">
        <f>IF(E61=TRUE,IF(D61=FALSE,'Расчет участников НИР'!$H71*(10%),IF(F61=FALSE,'Расчет участников НИР'!$H71*(50%/2),IF(AND(F61=TRUE,G61=TRUE),'Расчет участников НИР'!$H71*'счеталка премий'!$T$6,'Расчет участников НИР'!$H71*(50%/3)))),0)</f>
        <v>0</v>
      </c>
      <c r="J61" s="741">
        <f>IF(F61=TRUE,IF(AND(D61=FALSE,E61=FALSE),'Расчет участников НИР'!$H71*(20%),IF(D61=FALSE,'Расчет участников НИР'!$H71*(10%),IF(G61=FALSE,'Расчет участников НИР'!$H71*(50%/3),'Расчет участников НИР'!$H71*'счеталка премий'!$T$6))),0)</f>
        <v>0</v>
      </c>
      <c r="K61" s="741">
        <f>IF(G61=TRUE,IF(AND(D61=FALSE,E61=FALSE,F61=FALSE),'Расчет участников НИР'!$H71*(50%),'Расчет участников НИР'!$H71*'счеталка премий'!$T$7),0)</f>
        <v>0</v>
      </c>
      <c r="L61" s="741">
        <f t="shared" si="7"/>
        <v>0</v>
      </c>
      <c r="M61" s="741">
        <f>'Расчет участников НИР'!H71</f>
        <v>0</v>
      </c>
      <c r="O61" s="747" t="e">
        <f t="shared" si="8"/>
        <v>#DIV/0!</v>
      </c>
      <c r="P61" s="747" t="e">
        <f t="shared" si="8"/>
        <v>#DIV/0!</v>
      </c>
      <c r="Q61" s="747" t="e">
        <f t="shared" si="8"/>
        <v>#DIV/0!</v>
      </c>
      <c r="R61" s="747" t="e">
        <f t="shared" si="8"/>
        <v>#DIV/0!</v>
      </c>
    </row>
    <row r="62" spans="1:18" x14ac:dyDescent="0.25">
      <c r="A62" s="745">
        <f>'Состав ВТК'!B65</f>
        <v>0</v>
      </c>
      <c r="B62" s="739">
        <f>'Состав ВТК'!L65</f>
        <v>0</v>
      </c>
      <c r="C62" s="739">
        <f>'Состав ВТК'!M65</f>
        <v>0</v>
      </c>
      <c r="D62" s="746" t="b">
        <f t="shared" si="1"/>
        <v>0</v>
      </c>
      <c r="E62" s="746" t="b">
        <f t="shared" si="2"/>
        <v>0</v>
      </c>
      <c r="F62" s="746" t="b">
        <f t="shared" si="3"/>
        <v>0</v>
      </c>
      <c r="G62" s="746" t="b">
        <f t="shared" si="4"/>
        <v>0</v>
      </c>
      <c r="H62" s="741">
        <f>IF(D62=TRUE,IF(E62=FALSE,'Расчет участников НИР'!$H72*(50%/1),IF(AND(E62=TRUE,F62=TRUE,G62=TRUE),'Расчет участников НИР'!$H72*'счеталка премий'!$T$6,IF(AND(E62=TRUE,F62=TRUE),'Расчет участников НИР'!$H72*(50%/3),'Расчет участников НИР'!$H72*(50%/2)))),0)</f>
        <v>0</v>
      </c>
      <c r="I62" s="741">
        <f>IF(E62=TRUE,IF(D62=FALSE,'Расчет участников НИР'!$H72*(10%),IF(F62=FALSE,'Расчет участников НИР'!$H72*(50%/2),IF(AND(F62=TRUE,G62=TRUE),'Расчет участников НИР'!$H72*'счеталка премий'!$T$6,'Расчет участников НИР'!$H72*(50%/3)))),0)</f>
        <v>0</v>
      </c>
      <c r="J62" s="741">
        <f>IF(F62=TRUE,IF(AND(D62=FALSE,E62=FALSE),'Расчет участников НИР'!$H72*(20%),IF(D62=FALSE,'Расчет участников НИР'!$H72*(10%),IF(G62=FALSE,'Расчет участников НИР'!$H72*(50%/3),'Расчет участников НИР'!$H72*'счеталка премий'!$T$6))),0)</f>
        <v>0</v>
      </c>
      <c r="K62" s="741">
        <f>IF(G62=TRUE,IF(AND(D62=FALSE,E62=FALSE,F62=FALSE),'Расчет участников НИР'!$H72*(50%),'Расчет участников НИР'!$H72*'счеталка премий'!$T$7),0)</f>
        <v>0</v>
      </c>
      <c r="L62" s="741">
        <f t="shared" si="7"/>
        <v>0</v>
      </c>
      <c r="M62" s="741">
        <f>'Расчет участников НИР'!H72</f>
        <v>0</v>
      </c>
      <c r="O62" s="747" t="e">
        <f t="shared" si="8"/>
        <v>#DIV/0!</v>
      </c>
      <c r="P62" s="747" t="e">
        <f t="shared" si="8"/>
        <v>#DIV/0!</v>
      </c>
      <c r="Q62" s="747" t="e">
        <f t="shared" si="8"/>
        <v>#DIV/0!</v>
      </c>
      <c r="R62" s="747" t="e">
        <f t="shared" si="8"/>
        <v>#DIV/0!</v>
      </c>
    </row>
    <row r="63" spans="1:18" x14ac:dyDescent="0.25">
      <c r="A63" s="745">
        <f>'Состав ВТК'!B66</f>
        <v>0</v>
      </c>
      <c r="B63" s="739">
        <f>'Состав ВТК'!L66</f>
        <v>0</v>
      </c>
      <c r="C63" s="739">
        <f>'Состав ВТК'!M66</f>
        <v>0</v>
      </c>
      <c r="D63" s="746" t="b">
        <f t="shared" si="1"/>
        <v>0</v>
      </c>
      <c r="E63" s="746" t="b">
        <f t="shared" si="2"/>
        <v>0</v>
      </c>
      <c r="F63" s="746" t="b">
        <f t="shared" si="3"/>
        <v>0</v>
      </c>
      <c r="G63" s="746" t="b">
        <f t="shared" si="4"/>
        <v>0</v>
      </c>
      <c r="H63" s="741">
        <f>IF(D63=TRUE,IF(E63=FALSE,'Расчет участников НИР'!$H73*(50%/1),IF(AND(E63=TRUE,F63=TRUE,G63=TRUE),'Расчет участников НИР'!$H73*'счеталка премий'!$T$6,IF(AND(E63=TRUE,F63=TRUE),'Расчет участников НИР'!$H73*(50%/3),'Расчет участников НИР'!$H73*(50%/2)))),0)</f>
        <v>0</v>
      </c>
      <c r="I63" s="741">
        <f>IF(E63=TRUE,IF(D63=FALSE,'Расчет участников НИР'!$H73*(10%),IF(F63=FALSE,'Расчет участников НИР'!$H73*(50%/2),IF(AND(F63=TRUE,G63=TRUE),'Расчет участников НИР'!$H73*'счеталка премий'!$T$6,'Расчет участников НИР'!$H73*(50%/3)))),0)</f>
        <v>0</v>
      </c>
      <c r="J63" s="741">
        <f>IF(F63=TRUE,IF(AND(D63=FALSE,E63=FALSE),'Расчет участников НИР'!$H73*(20%),IF(D63=FALSE,'Расчет участников НИР'!$H73*(10%),IF(G63=FALSE,'Расчет участников НИР'!$H73*(50%/3),'Расчет участников НИР'!$H73*'счеталка премий'!$T$6))),0)</f>
        <v>0</v>
      </c>
      <c r="K63" s="741">
        <f>IF(G63=TRUE,IF(AND(D63=FALSE,E63=FALSE,F63=FALSE),'Расчет участников НИР'!$H73*(50%),'Расчет участников НИР'!$H73*'счеталка премий'!$T$7),0)</f>
        <v>0</v>
      </c>
      <c r="L63" s="741">
        <f t="shared" si="7"/>
        <v>0</v>
      </c>
      <c r="M63" s="741">
        <f>'Расчет участников НИР'!H73</f>
        <v>0</v>
      </c>
      <c r="O63" s="747" t="e">
        <f t="shared" si="8"/>
        <v>#DIV/0!</v>
      </c>
      <c r="P63" s="747" t="e">
        <f t="shared" si="8"/>
        <v>#DIV/0!</v>
      </c>
      <c r="Q63" s="747" t="e">
        <f t="shared" si="8"/>
        <v>#DIV/0!</v>
      </c>
      <c r="R63" s="747" t="e">
        <f t="shared" si="8"/>
        <v>#DIV/0!</v>
      </c>
    </row>
    <row r="64" spans="1:18" x14ac:dyDescent="0.25">
      <c r="A64" s="745">
        <f>'Состав ВТК'!B67</f>
        <v>0</v>
      </c>
      <c r="B64" s="739">
        <f>'Состав ВТК'!L67</f>
        <v>0</v>
      </c>
      <c r="C64" s="739">
        <f>'Состав ВТК'!M67</f>
        <v>0</v>
      </c>
      <c r="D64" s="746" t="b">
        <f t="shared" si="1"/>
        <v>0</v>
      </c>
      <c r="E64" s="746" t="b">
        <f t="shared" si="2"/>
        <v>0</v>
      </c>
      <c r="F64" s="746" t="b">
        <f t="shared" si="3"/>
        <v>0</v>
      </c>
      <c r="G64" s="746" t="b">
        <f t="shared" si="4"/>
        <v>0</v>
      </c>
      <c r="H64" s="741">
        <f>IF(D64=TRUE,IF(E64=FALSE,'Расчет участников НИР'!$H74*(50%/1),IF(AND(E64=TRUE,F64=TRUE,G64=TRUE),'Расчет участников НИР'!$H74*'счеталка премий'!$T$6,IF(AND(E64=TRUE,F64=TRUE),'Расчет участников НИР'!$H74*(50%/3),'Расчет участников НИР'!$H74*(50%/2)))),0)</f>
        <v>0</v>
      </c>
      <c r="I64" s="741">
        <f>IF(E64=TRUE,IF(D64=FALSE,'Расчет участников НИР'!$H74*(10%),IF(F64=FALSE,'Расчет участников НИР'!$H74*(50%/2),IF(AND(F64=TRUE,G64=TRUE),'Расчет участников НИР'!$H74*'счеталка премий'!$T$6,'Расчет участников НИР'!$H74*(50%/3)))),0)</f>
        <v>0</v>
      </c>
      <c r="J64" s="741">
        <f>IF(F64=TRUE,IF(AND(D64=FALSE,E64=FALSE),'Расчет участников НИР'!$H74*(20%),IF(D64=FALSE,'Расчет участников НИР'!$H74*(10%),IF(G64=FALSE,'Расчет участников НИР'!$H74*(50%/3),'Расчет участников НИР'!$H74*'счеталка премий'!$T$6))),0)</f>
        <v>0</v>
      </c>
      <c r="K64" s="741">
        <f>IF(G64=TRUE,IF(AND(D64=FALSE,E64=FALSE,F64=FALSE),'Расчет участников НИР'!$H74*(50%),'Расчет участников НИР'!$H74*'счеталка премий'!$T$7),0)</f>
        <v>0</v>
      </c>
      <c r="L64" s="741">
        <f t="shared" si="7"/>
        <v>0</v>
      </c>
      <c r="M64" s="741">
        <f>'Расчет участников НИР'!H74</f>
        <v>0</v>
      </c>
      <c r="O64" s="747" t="e">
        <f t="shared" si="8"/>
        <v>#DIV/0!</v>
      </c>
      <c r="P64" s="747" t="e">
        <f t="shared" si="8"/>
        <v>#DIV/0!</v>
      </c>
      <c r="Q64" s="747" t="e">
        <f t="shared" si="8"/>
        <v>#DIV/0!</v>
      </c>
      <c r="R64" s="747" t="e">
        <f t="shared" si="8"/>
        <v>#DIV/0!</v>
      </c>
    </row>
    <row r="65" spans="1:18" x14ac:dyDescent="0.25">
      <c r="A65" s="745">
        <f>'Состав ВТК'!B68</f>
        <v>0</v>
      </c>
      <c r="B65" s="739">
        <f>'Состав ВТК'!L68</f>
        <v>0</v>
      </c>
      <c r="C65" s="739">
        <f>'Состав ВТК'!M68</f>
        <v>0</v>
      </c>
      <c r="D65" s="746" t="b">
        <f t="shared" si="1"/>
        <v>0</v>
      </c>
      <c r="E65" s="746" t="b">
        <f t="shared" si="2"/>
        <v>0</v>
      </c>
      <c r="F65" s="746" t="b">
        <f t="shared" si="3"/>
        <v>0</v>
      </c>
      <c r="G65" s="746" t="b">
        <f t="shared" si="4"/>
        <v>0</v>
      </c>
      <c r="H65" s="741">
        <f>IF(D65=TRUE,IF(E65=FALSE,'Расчет участников НИР'!$H75*(50%/1),IF(AND(E65=TRUE,F65=TRUE,G65=TRUE),'Расчет участников НИР'!$H75*'счеталка премий'!$T$6,IF(AND(E65=TRUE,F65=TRUE),'Расчет участников НИР'!$H75*(50%/3),'Расчет участников НИР'!$H75*(50%/2)))),0)</f>
        <v>0</v>
      </c>
      <c r="I65" s="741">
        <f>IF(E65=TRUE,IF(D65=FALSE,'Расчет участников НИР'!$H75*(10%),IF(F65=FALSE,'Расчет участников НИР'!$H75*(50%/2),IF(AND(F65=TRUE,G65=TRUE),'Расчет участников НИР'!$H75*'счеталка премий'!$T$6,'Расчет участников НИР'!$H75*(50%/3)))),0)</f>
        <v>0</v>
      </c>
      <c r="J65" s="741">
        <f>IF(F65=TRUE,IF(AND(D65=FALSE,E65=FALSE),'Расчет участников НИР'!$H75*(20%),IF(D65=FALSE,'Расчет участников НИР'!$H75*(10%),IF(G65=FALSE,'Расчет участников НИР'!$H75*(50%/3),'Расчет участников НИР'!$H75*'счеталка премий'!$T$6))),0)</f>
        <v>0</v>
      </c>
      <c r="K65" s="741">
        <f>IF(G65=TRUE,IF(AND(D65=FALSE,E65=FALSE,F65=FALSE),'Расчет участников НИР'!$H75*(50%),'Расчет участников НИР'!$H75*'счеталка премий'!$T$7),0)</f>
        <v>0</v>
      </c>
      <c r="L65" s="741">
        <f t="shared" si="7"/>
        <v>0</v>
      </c>
      <c r="M65" s="741">
        <f>'Расчет участников НИР'!H75</f>
        <v>0</v>
      </c>
      <c r="O65" s="747" t="e">
        <f t="shared" si="8"/>
        <v>#DIV/0!</v>
      </c>
      <c r="P65" s="747" t="e">
        <f t="shared" si="8"/>
        <v>#DIV/0!</v>
      </c>
      <c r="Q65" s="747" t="e">
        <f t="shared" si="8"/>
        <v>#DIV/0!</v>
      </c>
      <c r="R65" s="747" t="e">
        <f t="shared" si="8"/>
        <v>#DIV/0!</v>
      </c>
    </row>
    <row r="66" spans="1:18" x14ac:dyDescent="0.25">
      <c r="A66" s="745">
        <f>'Состав ВТК'!B69</f>
        <v>0</v>
      </c>
      <c r="B66" s="739">
        <f>'Состав ВТК'!L69</f>
        <v>0</v>
      </c>
      <c r="C66" s="739">
        <f>'Состав ВТК'!M69</f>
        <v>0</v>
      </c>
      <c r="D66" s="746" t="b">
        <f t="shared" si="1"/>
        <v>0</v>
      </c>
      <c r="E66" s="746" t="b">
        <f t="shared" si="2"/>
        <v>0</v>
      </c>
      <c r="F66" s="746" t="b">
        <f t="shared" si="3"/>
        <v>0</v>
      </c>
      <c r="G66" s="746" t="b">
        <f t="shared" si="4"/>
        <v>0</v>
      </c>
      <c r="H66" s="741">
        <f>IF(D66=TRUE,IF(E66=FALSE,'Расчет участников НИР'!$H76*(50%/1),IF(AND(E66=TRUE,F66=TRUE,G66=TRUE),'Расчет участников НИР'!$H76*'счеталка премий'!$T$6,IF(AND(E66=TRUE,F66=TRUE),'Расчет участников НИР'!$H76*(50%/3),'Расчет участников НИР'!$H76*(50%/2)))),0)</f>
        <v>0</v>
      </c>
      <c r="I66" s="741">
        <f>IF(E66=TRUE,IF(D66=FALSE,'Расчет участников НИР'!$H76*(10%),IF(F66=FALSE,'Расчет участников НИР'!$H76*(50%/2),IF(AND(F66=TRUE,G66=TRUE),'Расчет участников НИР'!$H76*'счеталка премий'!$T$6,'Расчет участников НИР'!$H76*(50%/3)))),0)</f>
        <v>0</v>
      </c>
      <c r="J66" s="741">
        <f>IF(F66=TRUE,IF(AND(D66=FALSE,E66=FALSE),'Расчет участников НИР'!$H76*(20%),IF(D66=FALSE,'Расчет участников НИР'!$H76*(10%),IF(G66=FALSE,'Расчет участников НИР'!$H76*(50%/3),'Расчет участников НИР'!$H76*'счеталка премий'!$T$6))),0)</f>
        <v>0</v>
      </c>
      <c r="K66" s="741">
        <f>IF(G66=TRUE,IF(AND(D66=FALSE,E66=FALSE,F66=FALSE),'Расчет участников НИР'!$H76*(50%),'Расчет участников НИР'!$H76*'счеталка премий'!$T$7),0)</f>
        <v>0</v>
      </c>
      <c r="L66" s="741">
        <f t="shared" si="7"/>
        <v>0</v>
      </c>
      <c r="M66" s="741">
        <f>'Расчет участников НИР'!H76</f>
        <v>0</v>
      </c>
      <c r="O66" s="747" t="e">
        <f t="shared" si="8"/>
        <v>#DIV/0!</v>
      </c>
      <c r="P66" s="747" t="e">
        <f t="shared" si="8"/>
        <v>#DIV/0!</v>
      </c>
      <c r="Q66" s="747" t="e">
        <f t="shared" si="8"/>
        <v>#DIV/0!</v>
      </c>
      <c r="R66" s="747" t="e">
        <f t="shared" si="8"/>
        <v>#DIV/0!</v>
      </c>
    </row>
    <row r="67" spans="1:18" x14ac:dyDescent="0.25">
      <c r="A67" s="745">
        <f>'Состав ВТК'!B70</f>
        <v>0</v>
      </c>
      <c r="B67" s="739">
        <f>'Состав ВТК'!L70</f>
        <v>0</v>
      </c>
      <c r="C67" s="739">
        <f>'Состав ВТК'!M70</f>
        <v>0</v>
      </c>
      <c r="D67" s="746" t="b">
        <f t="shared" si="1"/>
        <v>0</v>
      </c>
      <c r="E67" s="746" t="b">
        <f t="shared" si="2"/>
        <v>0</v>
      </c>
      <c r="F67" s="746" t="b">
        <f t="shared" si="3"/>
        <v>0</v>
      </c>
      <c r="G67" s="746" t="b">
        <f t="shared" si="4"/>
        <v>0</v>
      </c>
      <c r="H67" s="741">
        <f>IF(D67=TRUE,IF(E67=FALSE,'Расчет участников НИР'!$H77*(50%/1),IF(AND(E67=TRUE,F67=TRUE,G67=TRUE),'Расчет участников НИР'!$H77*'счеталка премий'!$T$6,IF(AND(E67=TRUE,F67=TRUE),'Расчет участников НИР'!$H77*(50%/3),'Расчет участников НИР'!$H77*(50%/2)))),0)</f>
        <v>0</v>
      </c>
      <c r="I67" s="741">
        <f>IF(E67=TRUE,IF(D67=FALSE,'Расчет участников НИР'!$H77*(10%),IF(F67=FALSE,'Расчет участников НИР'!$H77*(50%/2),IF(AND(F67=TRUE,G67=TRUE),'Расчет участников НИР'!$H77*'счеталка премий'!$T$6,'Расчет участников НИР'!$H77*(50%/3)))),0)</f>
        <v>0</v>
      </c>
      <c r="J67" s="741">
        <f>IF(F67=TRUE,IF(AND(D67=FALSE,E67=FALSE),'Расчет участников НИР'!$H77*(20%),IF(D67=FALSE,'Расчет участников НИР'!$H77*(10%),IF(G67=FALSE,'Расчет участников НИР'!$H77*(50%/3),'Расчет участников НИР'!$H77*'счеталка премий'!$T$6))),0)</f>
        <v>0</v>
      </c>
      <c r="K67" s="741">
        <f>IF(G67=TRUE,IF(AND(D67=FALSE,E67=FALSE,F67=FALSE),'Расчет участников НИР'!$H77*(50%),'Расчет участников НИР'!$H77*'счеталка премий'!$T$7),0)</f>
        <v>0</v>
      </c>
      <c r="L67" s="741">
        <f t="shared" si="7"/>
        <v>0</v>
      </c>
      <c r="M67" s="741">
        <f>'Расчет участников НИР'!H77</f>
        <v>0</v>
      </c>
      <c r="O67" s="747" t="e">
        <f t="shared" si="8"/>
        <v>#DIV/0!</v>
      </c>
      <c r="P67" s="747" t="e">
        <f t="shared" si="8"/>
        <v>#DIV/0!</v>
      </c>
      <c r="Q67" s="747" t="e">
        <f t="shared" si="8"/>
        <v>#DIV/0!</v>
      </c>
      <c r="R67" s="747" t="e">
        <f t="shared" si="8"/>
        <v>#DIV/0!</v>
      </c>
    </row>
    <row r="68" spans="1:18" x14ac:dyDescent="0.25">
      <c r="A68" s="745">
        <f>'Состав ВТК'!B71</f>
        <v>0</v>
      </c>
      <c r="B68" s="739">
        <f>'Состав ВТК'!L71</f>
        <v>0</v>
      </c>
      <c r="C68" s="739">
        <f>'Состав ВТК'!M71</f>
        <v>0</v>
      </c>
      <c r="D68" s="746" t="b">
        <f t="shared" si="1"/>
        <v>0</v>
      </c>
      <c r="E68" s="746" t="b">
        <f t="shared" si="2"/>
        <v>0</v>
      </c>
      <c r="F68" s="746" t="b">
        <f t="shared" si="3"/>
        <v>0</v>
      </c>
      <c r="G68" s="746" t="b">
        <f t="shared" si="4"/>
        <v>0</v>
      </c>
      <c r="H68" s="741">
        <f>IF(D68=TRUE,IF(E68=FALSE,'Расчет участников НИР'!$H78*(50%/1),IF(AND(E68=TRUE,F68=TRUE,G68=TRUE),'Расчет участников НИР'!$H78*'счеталка премий'!$T$6,IF(AND(E68=TRUE,F68=TRUE),'Расчет участников НИР'!$H78*(50%/3),'Расчет участников НИР'!$H78*(50%/2)))),0)</f>
        <v>0</v>
      </c>
      <c r="I68" s="741">
        <f>IF(E68=TRUE,IF(D68=FALSE,'Расчет участников НИР'!$H78*(10%),IF(F68=FALSE,'Расчет участников НИР'!$H78*(50%/2),IF(AND(F68=TRUE,G68=TRUE),'Расчет участников НИР'!$H78*'счеталка премий'!$T$6,'Расчет участников НИР'!$H78*(50%/3)))),0)</f>
        <v>0</v>
      </c>
      <c r="J68" s="741">
        <f>IF(F68=TRUE,IF(AND(D68=FALSE,E68=FALSE),'Расчет участников НИР'!$H78*(20%),IF(D68=FALSE,'Расчет участников НИР'!$H78*(10%),IF(G68=FALSE,'Расчет участников НИР'!$H78*(50%/3),'Расчет участников НИР'!$H78*'счеталка премий'!$T$6))),0)</f>
        <v>0</v>
      </c>
      <c r="K68" s="741">
        <f>IF(G68=TRUE,IF(AND(D68=FALSE,E68=FALSE,F68=FALSE),'Расчет участников НИР'!$H78*(50%),'Расчет участников НИР'!$H78*'счеталка премий'!$T$7),0)</f>
        <v>0</v>
      </c>
      <c r="L68" s="741">
        <f t="shared" si="7"/>
        <v>0</v>
      </c>
      <c r="M68" s="741">
        <f>'Расчет участников НИР'!H78</f>
        <v>0</v>
      </c>
      <c r="O68" s="747" t="e">
        <f t="shared" si="8"/>
        <v>#DIV/0!</v>
      </c>
      <c r="P68" s="747" t="e">
        <f t="shared" si="8"/>
        <v>#DIV/0!</v>
      </c>
      <c r="Q68" s="747" t="e">
        <f t="shared" si="8"/>
        <v>#DIV/0!</v>
      </c>
      <c r="R68" s="747" t="e">
        <f t="shared" si="8"/>
        <v>#DIV/0!</v>
      </c>
    </row>
    <row r="69" spans="1:18" x14ac:dyDescent="0.25">
      <c r="A69" s="745">
        <f>'Состав ВТК'!B72</f>
        <v>0</v>
      </c>
      <c r="B69" s="739">
        <f>'Состав ВТК'!L72</f>
        <v>0</v>
      </c>
      <c r="C69" s="739">
        <f>'Состав ВТК'!M72</f>
        <v>0</v>
      </c>
      <c r="D69" s="746" t="b">
        <f t="shared" si="1"/>
        <v>0</v>
      </c>
      <c r="E69" s="746" t="b">
        <f t="shared" si="2"/>
        <v>0</v>
      </c>
      <c r="F69" s="746" t="b">
        <f t="shared" si="3"/>
        <v>0</v>
      </c>
      <c r="G69" s="746" t="b">
        <f t="shared" si="4"/>
        <v>0</v>
      </c>
      <c r="H69" s="741">
        <f>IF(D69=TRUE,IF(E69=FALSE,'Расчет участников НИР'!$H79*(50%/1),IF(AND(E69=TRUE,F69=TRUE,G69=TRUE),'Расчет участников НИР'!$H79*'счеталка премий'!$T$6,IF(AND(E69=TRUE,F69=TRUE),'Расчет участников НИР'!$H79*(50%/3),'Расчет участников НИР'!$H79*(50%/2)))),0)</f>
        <v>0</v>
      </c>
      <c r="I69" s="741">
        <f>IF(E69=TRUE,IF(D69=FALSE,'Расчет участников НИР'!$H79*(10%),IF(F69=FALSE,'Расчет участников НИР'!$H79*(50%/2),IF(AND(F69=TRUE,G69=TRUE),'Расчет участников НИР'!$H79*'счеталка премий'!$T$6,'Расчет участников НИР'!$H79*(50%/3)))),0)</f>
        <v>0</v>
      </c>
      <c r="J69" s="741">
        <f>IF(F69=TRUE,IF(AND(D69=FALSE,E69=FALSE),'Расчет участников НИР'!$H79*(20%),IF(D69=FALSE,'Расчет участников НИР'!$H79*(10%),IF(G69=FALSE,'Расчет участников НИР'!$H79*(50%/3),'Расчет участников НИР'!$H79*'счеталка премий'!$T$6))),0)</f>
        <v>0</v>
      </c>
      <c r="K69" s="741">
        <f>IF(G69=TRUE,IF(AND(D69=FALSE,E69=FALSE,F69=FALSE),'Расчет участников НИР'!$H79*(50%),'Расчет участников НИР'!$H79*'счеталка премий'!$T$7),0)</f>
        <v>0</v>
      </c>
      <c r="L69" s="741">
        <f t="shared" si="7"/>
        <v>0</v>
      </c>
      <c r="M69" s="741">
        <f>'Расчет участников НИР'!H79</f>
        <v>0</v>
      </c>
      <c r="O69" s="747" t="e">
        <f t="shared" si="8"/>
        <v>#DIV/0!</v>
      </c>
      <c r="P69" s="747" t="e">
        <f t="shared" si="8"/>
        <v>#DIV/0!</v>
      </c>
      <c r="Q69" s="747" t="e">
        <f t="shared" si="8"/>
        <v>#DIV/0!</v>
      </c>
      <c r="R69" s="747" t="e">
        <f t="shared" si="8"/>
        <v>#DIV/0!</v>
      </c>
    </row>
    <row r="70" spans="1:18" x14ac:dyDescent="0.25">
      <c r="A70" s="745">
        <f>'Состав ВТК'!B73</f>
        <v>0</v>
      </c>
      <c r="B70" s="739">
        <f>'Состав ВТК'!L73</f>
        <v>0</v>
      </c>
      <c r="C70" s="739">
        <f>'Состав ВТК'!M73</f>
        <v>0</v>
      </c>
      <c r="D70" s="746" t="b">
        <f t="shared" si="1"/>
        <v>0</v>
      </c>
      <c r="E70" s="746" t="b">
        <f t="shared" si="2"/>
        <v>0</v>
      </c>
      <c r="F70" s="746" t="b">
        <f t="shared" si="3"/>
        <v>0</v>
      </c>
      <c r="G70" s="746" t="b">
        <f t="shared" si="4"/>
        <v>0</v>
      </c>
      <c r="H70" s="741">
        <f>IF(D70=TRUE,IF(E70=FALSE,'Расчет участников НИР'!$H80*(50%/1),IF(AND(E70=TRUE,F70=TRUE,G70=TRUE),'Расчет участников НИР'!$H80*'счеталка премий'!$T$6,IF(AND(E70=TRUE,F70=TRUE),'Расчет участников НИР'!$H80*(50%/3),'Расчет участников НИР'!$H80*(50%/2)))),0)</f>
        <v>0</v>
      </c>
      <c r="I70" s="741">
        <f>IF(E70=TRUE,IF(D70=FALSE,'Расчет участников НИР'!$H80*(10%),IF(F70=FALSE,'Расчет участников НИР'!$H80*(50%/2),IF(AND(F70=TRUE,G70=TRUE),'Расчет участников НИР'!$H80*'счеталка премий'!$T$6,'Расчет участников НИР'!$H80*(50%/3)))),0)</f>
        <v>0</v>
      </c>
      <c r="J70" s="741">
        <f>IF(F70=TRUE,IF(AND(D70=FALSE,E70=FALSE),'Расчет участников НИР'!$H80*(20%),IF(D70=FALSE,'Расчет участников НИР'!$H80*(10%),IF(G70=FALSE,'Расчет участников НИР'!$H80*(50%/3),'Расчет участников НИР'!$H80*'счеталка премий'!$T$6))),0)</f>
        <v>0</v>
      </c>
      <c r="K70" s="741">
        <f>IF(G70=TRUE,IF(AND(D70=FALSE,E70=FALSE,F70=FALSE),'Расчет участников НИР'!$H80*(50%),'Расчет участников НИР'!$H80*'счеталка премий'!$T$7),0)</f>
        <v>0</v>
      </c>
      <c r="L70" s="741">
        <f t="shared" si="7"/>
        <v>0</v>
      </c>
      <c r="M70" s="741">
        <f>'Расчет участников НИР'!H80</f>
        <v>0</v>
      </c>
      <c r="O70" s="747" t="e">
        <f t="shared" si="8"/>
        <v>#DIV/0!</v>
      </c>
      <c r="P70" s="747" t="e">
        <f t="shared" si="8"/>
        <v>#DIV/0!</v>
      </c>
      <c r="Q70" s="747" t="e">
        <f t="shared" si="8"/>
        <v>#DIV/0!</v>
      </c>
      <c r="R70" s="747" t="e">
        <f t="shared" si="8"/>
        <v>#DIV/0!</v>
      </c>
    </row>
    <row r="71" spans="1:18" x14ac:dyDescent="0.25">
      <c r="A71" s="745">
        <f>'Состав ВТК'!B74</f>
        <v>0</v>
      </c>
      <c r="B71" s="739">
        <f>'Состав ВТК'!L74</f>
        <v>0</v>
      </c>
      <c r="C71" s="739">
        <f>'Состав ВТК'!M74</f>
        <v>0</v>
      </c>
      <c r="D71" s="746" t="b">
        <f t="shared" ref="D71:D134" si="9">AND($C71&gt;=$D$5,$B71&lt;=$D$5)</f>
        <v>0</v>
      </c>
      <c r="E71" s="746" t="b">
        <f t="shared" ref="E71:E134" si="10">AND($C71&gt;=$E$5,$B71&lt;=$E$5)</f>
        <v>0</v>
      </c>
      <c r="F71" s="746" t="b">
        <f t="shared" ref="F71:F134" si="11">AND($C71&gt;=$F$5,$B71&lt;=$F$5)</f>
        <v>0</v>
      </c>
      <c r="G71" s="746" t="b">
        <f t="shared" ref="G71:G134" si="12">AND($C71&gt;=$G$5,$B71&lt;=$G$5)</f>
        <v>0</v>
      </c>
      <c r="H71" s="741">
        <f>IF(D71=TRUE,IF(E71=FALSE,'Расчет участников НИР'!$H81*(50%/1),IF(AND(E71=TRUE,F71=TRUE,G71=TRUE),'Расчет участников НИР'!$H81*'счеталка премий'!$T$6,IF(AND(E71=TRUE,F71=TRUE),'Расчет участников НИР'!$H81*(50%/3),'Расчет участников НИР'!$H81*(50%/2)))),0)</f>
        <v>0</v>
      </c>
      <c r="I71" s="741">
        <f>IF(E71=TRUE,IF(D71=FALSE,'Расчет участников НИР'!$H81*(10%),IF(F71=FALSE,'Расчет участников НИР'!$H81*(50%/2),IF(AND(F71=TRUE,G71=TRUE),'Расчет участников НИР'!$H81*'счеталка премий'!$T$6,'Расчет участников НИР'!$H81*(50%/3)))),0)</f>
        <v>0</v>
      </c>
      <c r="J71" s="741">
        <f>IF(F71=TRUE,IF(AND(D71=FALSE,E71=FALSE),'Расчет участников НИР'!$H81*(20%),IF(D71=FALSE,'Расчет участников НИР'!$H81*(10%),IF(G71=FALSE,'Расчет участников НИР'!$H81*(50%/3),'Расчет участников НИР'!$H81*'счеталка премий'!$T$6))),0)</f>
        <v>0</v>
      </c>
      <c r="K71" s="741">
        <f>IF(G71=TRUE,IF(AND(D71=FALSE,E71=FALSE,F71=FALSE),'Расчет участников НИР'!$H81*(50%),'Расчет участников НИР'!$H81*'счеталка премий'!$T$7),0)</f>
        <v>0</v>
      </c>
      <c r="L71" s="741">
        <f t="shared" si="7"/>
        <v>0</v>
      </c>
      <c r="M71" s="741">
        <f>'Расчет участников НИР'!H81</f>
        <v>0</v>
      </c>
      <c r="O71" s="747" t="e">
        <f t="shared" si="8"/>
        <v>#DIV/0!</v>
      </c>
      <c r="P71" s="747" t="e">
        <f t="shared" si="8"/>
        <v>#DIV/0!</v>
      </c>
      <c r="Q71" s="747" t="e">
        <f t="shared" si="8"/>
        <v>#DIV/0!</v>
      </c>
      <c r="R71" s="747" t="e">
        <f t="shared" si="8"/>
        <v>#DIV/0!</v>
      </c>
    </row>
    <row r="72" spans="1:18" x14ac:dyDescent="0.25">
      <c r="A72" s="745">
        <f>'Состав ВТК'!B75</f>
        <v>0</v>
      </c>
      <c r="B72" s="739">
        <f>'Состав ВТК'!L75</f>
        <v>0</v>
      </c>
      <c r="C72" s="739">
        <f>'Состав ВТК'!M75</f>
        <v>0</v>
      </c>
      <c r="D72" s="746" t="b">
        <f t="shared" si="9"/>
        <v>0</v>
      </c>
      <c r="E72" s="746" t="b">
        <f t="shared" si="10"/>
        <v>0</v>
      </c>
      <c r="F72" s="746" t="b">
        <f t="shared" si="11"/>
        <v>0</v>
      </c>
      <c r="G72" s="746" t="b">
        <f t="shared" si="12"/>
        <v>0</v>
      </c>
      <c r="H72" s="741">
        <f>IF(D72=TRUE,IF(E72=FALSE,'Расчет участников НИР'!$H82*(50%/1),IF(AND(E72=TRUE,F72=TRUE,G72=TRUE),'Расчет участников НИР'!$H82*'счеталка премий'!$T$6,IF(AND(E72=TRUE,F72=TRUE),'Расчет участников НИР'!$H82*(50%/3),'Расчет участников НИР'!$H82*(50%/2)))),0)</f>
        <v>0</v>
      </c>
      <c r="I72" s="741">
        <f>IF(E72=TRUE,IF(D72=FALSE,'Расчет участников НИР'!$H82*(10%),IF(F72=FALSE,'Расчет участников НИР'!$H82*(50%/2),IF(AND(F72=TRUE,G72=TRUE),'Расчет участников НИР'!$H82*'счеталка премий'!$T$6,'Расчет участников НИР'!$H82*(50%/3)))),0)</f>
        <v>0</v>
      </c>
      <c r="J72" s="741">
        <f>IF(F72=TRUE,IF(AND(D72=FALSE,E72=FALSE),'Расчет участников НИР'!$H82*(20%),IF(D72=FALSE,'Расчет участников НИР'!$H82*(10%),IF(G72=FALSE,'Расчет участников НИР'!$H82*(50%/3),'Расчет участников НИР'!$H82*'счеталка премий'!$T$6))),0)</f>
        <v>0</v>
      </c>
      <c r="K72" s="741">
        <f>IF(G72=TRUE,IF(AND(D72=FALSE,E72=FALSE,F72=FALSE),'Расчет участников НИР'!$H82*(50%),'Расчет участников НИР'!$H82*'счеталка премий'!$T$7),0)</f>
        <v>0</v>
      </c>
      <c r="L72" s="741">
        <f t="shared" si="7"/>
        <v>0</v>
      </c>
      <c r="M72" s="741">
        <f>'Расчет участников НИР'!H82</f>
        <v>0</v>
      </c>
      <c r="O72" s="747" t="e">
        <f t="shared" si="8"/>
        <v>#DIV/0!</v>
      </c>
      <c r="P72" s="747" t="e">
        <f t="shared" si="8"/>
        <v>#DIV/0!</v>
      </c>
      <c r="Q72" s="747" t="e">
        <f t="shared" si="8"/>
        <v>#DIV/0!</v>
      </c>
      <c r="R72" s="747" t="e">
        <f t="shared" si="8"/>
        <v>#DIV/0!</v>
      </c>
    </row>
    <row r="73" spans="1:18" x14ac:dyDescent="0.25">
      <c r="A73" s="745">
        <f>'Состав ВТК'!B76</f>
        <v>0</v>
      </c>
      <c r="B73" s="739">
        <f>'Состав ВТК'!L76</f>
        <v>0</v>
      </c>
      <c r="C73" s="739">
        <f>'Состав ВТК'!M76</f>
        <v>0</v>
      </c>
      <c r="D73" s="746" t="b">
        <f t="shared" si="9"/>
        <v>0</v>
      </c>
      <c r="E73" s="746" t="b">
        <f t="shared" si="10"/>
        <v>0</v>
      </c>
      <c r="F73" s="746" t="b">
        <f t="shared" si="11"/>
        <v>0</v>
      </c>
      <c r="G73" s="746" t="b">
        <f t="shared" si="12"/>
        <v>0</v>
      </c>
      <c r="H73" s="741">
        <f>IF(D73=TRUE,IF(E73=FALSE,'Расчет участников НИР'!$H83*(50%/1),IF(AND(E73=TRUE,F73=TRUE,G73=TRUE),'Расчет участников НИР'!$H83*'счеталка премий'!$T$6,IF(AND(E73=TRUE,F73=TRUE),'Расчет участников НИР'!$H83*(50%/3),'Расчет участников НИР'!$H83*(50%/2)))),0)</f>
        <v>0</v>
      </c>
      <c r="I73" s="741">
        <f>IF(E73=TRUE,IF(D73=FALSE,'Расчет участников НИР'!$H83*(10%),IF(F73=FALSE,'Расчет участников НИР'!$H83*(50%/2),IF(AND(F73=TRUE,G73=TRUE),'Расчет участников НИР'!$H83*'счеталка премий'!$T$6,'Расчет участников НИР'!$H83*(50%/3)))),0)</f>
        <v>0</v>
      </c>
      <c r="J73" s="741">
        <f>IF(F73=TRUE,IF(AND(D73=FALSE,E73=FALSE),'Расчет участников НИР'!$H83*(20%),IF(D73=FALSE,'Расчет участников НИР'!$H83*(10%),IF(G73=FALSE,'Расчет участников НИР'!$H83*(50%/3),'Расчет участников НИР'!$H83*'счеталка премий'!$T$6))),0)</f>
        <v>0</v>
      </c>
      <c r="K73" s="741">
        <f>IF(G73=TRUE,IF(AND(D73=FALSE,E73=FALSE,F73=FALSE),'Расчет участников НИР'!$H83*(50%),'Расчет участников НИР'!$H83*'счеталка премий'!$T$7),0)</f>
        <v>0</v>
      </c>
      <c r="L73" s="741">
        <f t="shared" si="7"/>
        <v>0</v>
      </c>
      <c r="M73" s="741">
        <f>'Расчет участников НИР'!H83</f>
        <v>0</v>
      </c>
      <c r="O73" s="747" t="e">
        <f t="shared" si="8"/>
        <v>#DIV/0!</v>
      </c>
      <c r="P73" s="747" t="e">
        <f t="shared" si="8"/>
        <v>#DIV/0!</v>
      </c>
      <c r="Q73" s="747" t="e">
        <f t="shared" si="8"/>
        <v>#DIV/0!</v>
      </c>
      <c r="R73" s="747" t="e">
        <f t="shared" si="8"/>
        <v>#DIV/0!</v>
      </c>
    </row>
    <row r="74" spans="1:18" x14ac:dyDescent="0.25">
      <c r="A74" s="745">
        <f>'Состав ВТК'!B77</f>
        <v>0</v>
      </c>
      <c r="B74" s="739">
        <f>'Состав ВТК'!L77</f>
        <v>0</v>
      </c>
      <c r="C74" s="739">
        <f>'Состав ВТК'!M77</f>
        <v>0</v>
      </c>
      <c r="D74" s="746" t="b">
        <f t="shared" si="9"/>
        <v>0</v>
      </c>
      <c r="E74" s="746" t="b">
        <f t="shared" si="10"/>
        <v>0</v>
      </c>
      <c r="F74" s="746" t="b">
        <f t="shared" si="11"/>
        <v>0</v>
      </c>
      <c r="G74" s="746" t="b">
        <f t="shared" si="12"/>
        <v>0</v>
      </c>
      <c r="H74" s="741">
        <f>IF(D74=TRUE,IF(E74=FALSE,'Расчет участников НИР'!$H84*(50%/1),IF(AND(E74=TRUE,F74=TRUE,G74=TRUE),'Расчет участников НИР'!$H84*'счеталка премий'!$T$6,IF(AND(E74=TRUE,F74=TRUE),'Расчет участников НИР'!$H84*(50%/3),'Расчет участников НИР'!$H84*(50%/2)))),0)</f>
        <v>0</v>
      </c>
      <c r="I74" s="741">
        <f>IF(E74=TRUE,IF(D74=FALSE,'Расчет участников НИР'!$H84*(10%),IF(F74=FALSE,'Расчет участников НИР'!$H84*(50%/2),IF(AND(F74=TRUE,G74=TRUE),'Расчет участников НИР'!$H84*'счеталка премий'!$T$6,'Расчет участников НИР'!$H84*(50%/3)))),0)</f>
        <v>0</v>
      </c>
      <c r="J74" s="741">
        <f>IF(F74=TRUE,IF(AND(D74=FALSE,E74=FALSE),'Расчет участников НИР'!$H84*(20%),IF(D74=FALSE,'Расчет участников НИР'!$H84*(10%),IF(G74=FALSE,'Расчет участников НИР'!$H84*(50%/3),'Расчет участников НИР'!$H84*'счеталка премий'!$T$6))),0)</f>
        <v>0</v>
      </c>
      <c r="K74" s="741">
        <f>IF(G74=TRUE,IF(AND(D74=FALSE,E74=FALSE,F74=FALSE),'Расчет участников НИР'!$H84*(50%),'Расчет участников НИР'!$H84*'счеталка премий'!$T$7),0)</f>
        <v>0</v>
      </c>
      <c r="L74" s="741">
        <f t="shared" si="7"/>
        <v>0</v>
      </c>
      <c r="M74" s="741">
        <f>'Расчет участников НИР'!H84</f>
        <v>0</v>
      </c>
      <c r="O74" s="747" t="e">
        <f t="shared" si="8"/>
        <v>#DIV/0!</v>
      </c>
      <c r="P74" s="747" t="e">
        <f t="shared" si="8"/>
        <v>#DIV/0!</v>
      </c>
      <c r="Q74" s="747" t="e">
        <f t="shared" si="8"/>
        <v>#DIV/0!</v>
      </c>
      <c r="R74" s="747" t="e">
        <f t="shared" si="8"/>
        <v>#DIV/0!</v>
      </c>
    </row>
    <row r="75" spans="1:18" x14ac:dyDescent="0.25">
      <c r="A75" s="745">
        <f>'Состав ВТК'!B78</f>
        <v>0</v>
      </c>
      <c r="B75" s="739">
        <f>'Состав ВТК'!L78</f>
        <v>0</v>
      </c>
      <c r="C75" s="739">
        <f>'Состав ВТК'!M78</f>
        <v>0</v>
      </c>
      <c r="D75" s="746" t="b">
        <f t="shared" si="9"/>
        <v>0</v>
      </c>
      <c r="E75" s="746" t="b">
        <f t="shared" si="10"/>
        <v>0</v>
      </c>
      <c r="F75" s="746" t="b">
        <f t="shared" si="11"/>
        <v>0</v>
      </c>
      <c r="G75" s="746" t="b">
        <f t="shared" si="12"/>
        <v>0</v>
      </c>
      <c r="H75" s="741">
        <f>IF(D75=TRUE,IF(E75=FALSE,'Расчет участников НИР'!$H85*(50%/1),IF(AND(E75=TRUE,F75=TRUE,G75=TRUE),'Расчет участников НИР'!$H85*'счеталка премий'!$T$6,IF(AND(E75=TRUE,F75=TRUE),'Расчет участников НИР'!$H85*(50%/3),'Расчет участников НИР'!$H85*(50%/2)))),0)</f>
        <v>0</v>
      </c>
      <c r="I75" s="741">
        <f>IF(E75=TRUE,IF(D75=FALSE,'Расчет участников НИР'!$H85*(10%),IF(F75=FALSE,'Расчет участников НИР'!$H85*(50%/2),IF(AND(F75=TRUE,G75=TRUE),'Расчет участников НИР'!$H85*'счеталка премий'!$T$6,'Расчет участников НИР'!$H85*(50%/3)))),0)</f>
        <v>0</v>
      </c>
      <c r="J75" s="741">
        <f>IF(F75=TRUE,IF(AND(D75=FALSE,E75=FALSE),'Расчет участников НИР'!$H85*(20%),IF(D75=FALSE,'Расчет участников НИР'!$H85*(10%),IF(G75=FALSE,'Расчет участников НИР'!$H85*(50%/3),'Расчет участников НИР'!$H85*'счеталка премий'!$T$6))),0)</f>
        <v>0</v>
      </c>
      <c r="K75" s="741">
        <f>IF(G75=TRUE,IF(AND(D75=FALSE,E75=FALSE,F75=FALSE),'Расчет участников НИР'!$H85*(50%),'Расчет участников НИР'!$H85*'счеталка премий'!$T$7),0)</f>
        <v>0</v>
      </c>
      <c r="L75" s="741">
        <f t="shared" si="7"/>
        <v>0</v>
      </c>
      <c r="M75" s="741">
        <f>'Расчет участников НИР'!H85</f>
        <v>0</v>
      </c>
      <c r="O75" s="747" t="e">
        <f t="shared" si="8"/>
        <v>#DIV/0!</v>
      </c>
      <c r="P75" s="747" t="e">
        <f t="shared" si="8"/>
        <v>#DIV/0!</v>
      </c>
      <c r="Q75" s="747" t="e">
        <f t="shared" si="8"/>
        <v>#DIV/0!</v>
      </c>
      <c r="R75" s="747" t="e">
        <f t="shared" si="8"/>
        <v>#DIV/0!</v>
      </c>
    </row>
    <row r="76" spans="1:18" x14ac:dyDescent="0.25">
      <c r="A76" s="745">
        <f>'Состав ВТК'!B79</f>
        <v>0</v>
      </c>
      <c r="B76" s="739">
        <f>'Состав ВТК'!L79</f>
        <v>0</v>
      </c>
      <c r="C76" s="739">
        <f>'Состав ВТК'!M79</f>
        <v>0</v>
      </c>
      <c r="D76" s="746" t="b">
        <f t="shared" si="9"/>
        <v>0</v>
      </c>
      <c r="E76" s="746" t="b">
        <f t="shared" si="10"/>
        <v>0</v>
      </c>
      <c r="F76" s="746" t="b">
        <f t="shared" si="11"/>
        <v>0</v>
      </c>
      <c r="G76" s="746" t="b">
        <f t="shared" si="12"/>
        <v>0</v>
      </c>
      <c r="H76" s="741">
        <f>IF(D76=TRUE,IF(E76=FALSE,'Расчет участников НИР'!$H86*(50%/1),IF(AND(E76=TRUE,F76=TRUE,G76=TRUE),'Расчет участников НИР'!$H86*'счеталка премий'!$T$6,IF(AND(E76=TRUE,F76=TRUE),'Расчет участников НИР'!$H86*(50%/3),'Расчет участников НИР'!$H86*(50%/2)))),0)</f>
        <v>0</v>
      </c>
      <c r="I76" s="741">
        <f>IF(E76=TRUE,IF(D76=FALSE,'Расчет участников НИР'!$H86*(10%),IF(F76=FALSE,'Расчет участников НИР'!$H86*(50%/2),IF(AND(F76=TRUE,G76=TRUE),'Расчет участников НИР'!$H86*'счеталка премий'!$T$6,'Расчет участников НИР'!$H86*(50%/3)))),0)</f>
        <v>0</v>
      </c>
      <c r="J76" s="741">
        <f>IF(F76=TRUE,IF(AND(D76=FALSE,E76=FALSE),'Расчет участников НИР'!$H86*(20%),IF(D76=FALSE,'Расчет участников НИР'!$H86*(10%),IF(G76=FALSE,'Расчет участников НИР'!$H86*(50%/3),'Расчет участников НИР'!$H86*'счеталка премий'!$T$6))),0)</f>
        <v>0</v>
      </c>
      <c r="K76" s="741">
        <f>IF(G76=TRUE,IF(AND(D76=FALSE,E76=FALSE,F76=FALSE),'Расчет участников НИР'!$H86*(50%),'Расчет участников НИР'!$H86*'счеталка премий'!$T$7),0)</f>
        <v>0</v>
      </c>
      <c r="L76" s="741">
        <f t="shared" si="7"/>
        <v>0</v>
      </c>
      <c r="M76" s="741">
        <f>'Расчет участников НИР'!H86</f>
        <v>0</v>
      </c>
      <c r="O76" s="747" t="e">
        <f t="shared" si="8"/>
        <v>#DIV/0!</v>
      </c>
      <c r="P76" s="747" t="e">
        <f t="shared" si="8"/>
        <v>#DIV/0!</v>
      </c>
      <c r="Q76" s="747" t="e">
        <f t="shared" si="8"/>
        <v>#DIV/0!</v>
      </c>
      <c r="R76" s="747" t="e">
        <f t="shared" si="8"/>
        <v>#DIV/0!</v>
      </c>
    </row>
    <row r="77" spans="1:18" x14ac:dyDescent="0.25">
      <c r="A77" s="745">
        <f>'Состав ВТК'!B80</f>
        <v>0</v>
      </c>
      <c r="B77" s="739">
        <f>'Состав ВТК'!L80</f>
        <v>0</v>
      </c>
      <c r="C77" s="739">
        <f>'Состав ВТК'!M80</f>
        <v>0</v>
      </c>
      <c r="D77" s="746" t="b">
        <f t="shared" si="9"/>
        <v>0</v>
      </c>
      <c r="E77" s="746" t="b">
        <f t="shared" si="10"/>
        <v>0</v>
      </c>
      <c r="F77" s="746" t="b">
        <f t="shared" si="11"/>
        <v>0</v>
      </c>
      <c r="G77" s="746" t="b">
        <f t="shared" si="12"/>
        <v>0</v>
      </c>
      <c r="H77" s="741">
        <f>IF(D77=TRUE,IF(E77=FALSE,'Расчет участников НИР'!$H87*(50%/1),IF(AND(E77=TRUE,F77=TRUE,G77=TRUE),'Расчет участников НИР'!$H87*'счеталка премий'!$T$6,IF(AND(E77=TRUE,F77=TRUE),'Расчет участников НИР'!$H87*(50%/3),'Расчет участников НИР'!$H87*(50%/2)))),0)</f>
        <v>0</v>
      </c>
      <c r="I77" s="741">
        <f>IF(E77=TRUE,IF(D77=FALSE,'Расчет участников НИР'!$H87*(10%),IF(F77=FALSE,'Расчет участников НИР'!$H87*(50%/2),IF(AND(F77=TRUE,G77=TRUE),'Расчет участников НИР'!$H87*'счеталка премий'!$T$6,'Расчет участников НИР'!$H87*(50%/3)))),0)</f>
        <v>0</v>
      </c>
      <c r="J77" s="741">
        <f>IF(F77=TRUE,IF(AND(D77=FALSE,E77=FALSE),'Расчет участников НИР'!$H87*(20%),IF(D77=FALSE,'Расчет участников НИР'!$H87*(10%),IF(G77=FALSE,'Расчет участников НИР'!$H87*(50%/3),'Расчет участников НИР'!$H87*'счеталка премий'!$T$6))),0)</f>
        <v>0</v>
      </c>
      <c r="K77" s="741">
        <f>IF(G77=TRUE,IF(AND(D77=FALSE,E77=FALSE,F77=FALSE),'Расчет участников НИР'!$H87*(50%),'Расчет участников НИР'!$H87*'счеталка премий'!$T$7),0)</f>
        <v>0</v>
      </c>
      <c r="L77" s="741">
        <f t="shared" si="7"/>
        <v>0</v>
      </c>
      <c r="M77" s="741">
        <f>'Расчет участников НИР'!H87</f>
        <v>0</v>
      </c>
      <c r="O77" s="747" t="e">
        <f t="shared" si="8"/>
        <v>#DIV/0!</v>
      </c>
      <c r="P77" s="747" t="e">
        <f t="shared" si="8"/>
        <v>#DIV/0!</v>
      </c>
      <c r="Q77" s="747" t="e">
        <f t="shared" si="8"/>
        <v>#DIV/0!</v>
      </c>
      <c r="R77" s="747" t="e">
        <f t="shared" si="8"/>
        <v>#DIV/0!</v>
      </c>
    </row>
    <row r="78" spans="1:18" x14ac:dyDescent="0.25">
      <c r="A78" s="745">
        <f>'Состав ВТК'!B81</f>
        <v>0</v>
      </c>
      <c r="B78" s="739">
        <f>'Состав ВТК'!L81</f>
        <v>0</v>
      </c>
      <c r="C78" s="739">
        <f>'Состав ВТК'!M81</f>
        <v>0</v>
      </c>
      <c r="D78" s="746" t="b">
        <f t="shared" si="9"/>
        <v>0</v>
      </c>
      <c r="E78" s="746" t="b">
        <f t="shared" si="10"/>
        <v>0</v>
      </c>
      <c r="F78" s="746" t="b">
        <f t="shared" si="11"/>
        <v>0</v>
      </c>
      <c r="G78" s="746" t="b">
        <f t="shared" si="12"/>
        <v>0</v>
      </c>
      <c r="H78" s="741">
        <f>IF(D78=TRUE,IF(E78=FALSE,'Расчет участников НИР'!$H88*(50%/1),IF(AND(E78=TRUE,F78=TRUE,G78=TRUE),'Расчет участников НИР'!$H88*'счеталка премий'!$T$6,IF(AND(E78=TRUE,F78=TRUE),'Расчет участников НИР'!$H88*(50%/3),'Расчет участников НИР'!$H88*(50%/2)))),0)</f>
        <v>0</v>
      </c>
      <c r="I78" s="741">
        <f>IF(E78=TRUE,IF(D78=FALSE,'Расчет участников НИР'!$H88*(10%),IF(F78=FALSE,'Расчет участников НИР'!$H88*(50%/2),IF(AND(F78=TRUE,G78=TRUE),'Расчет участников НИР'!$H88*'счеталка премий'!$T$6,'Расчет участников НИР'!$H88*(50%/3)))),0)</f>
        <v>0</v>
      </c>
      <c r="J78" s="741">
        <f>IF(F78=TRUE,IF(AND(D78=FALSE,E78=FALSE),'Расчет участников НИР'!$H88*(20%),IF(D78=FALSE,'Расчет участников НИР'!$H88*(10%),IF(G78=FALSE,'Расчет участников НИР'!$H88*(50%/3),'Расчет участников НИР'!$H88*'счеталка премий'!$T$6))),0)</f>
        <v>0</v>
      </c>
      <c r="K78" s="741">
        <f>IF(G78=TRUE,IF(AND(D78=FALSE,E78=FALSE,F78=FALSE),'Расчет участников НИР'!$H88*(50%),'Расчет участников НИР'!$H88*'счеталка премий'!$T$7),0)</f>
        <v>0</v>
      </c>
      <c r="L78" s="741">
        <f t="shared" si="7"/>
        <v>0</v>
      </c>
      <c r="M78" s="741">
        <f>'Расчет участников НИР'!H88</f>
        <v>0</v>
      </c>
      <c r="O78" s="747" t="e">
        <f t="shared" si="8"/>
        <v>#DIV/0!</v>
      </c>
      <c r="P78" s="747" t="e">
        <f t="shared" si="8"/>
        <v>#DIV/0!</v>
      </c>
      <c r="Q78" s="747" t="e">
        <f t="shared" si="8"/>
        <v>#DIV/0!</v>
      </c>
      <c r="R78" s="747" t="e">
        <f t="shared" si="8"/>
        <v>#DIV/0!</v>
      </c>
    </row>
    <row r="79" spans="1:18" x14ac:dyDescent="0.25">
      <c r="A79" s="745">
        <f>'Состав ВТК'!B82</f>
        <v>0</v>
      </c>
      <c r="B79" s="739">
        <f>'Состав ВТК'!L82</f>
        <v>0</v>
      </c>
      <c r="C79" s="739">
        <f>'Состав ВТК'!M82</f>
        <v>0</v>
      </c>
      <c r="D79" s="746" t="b">
        <f t="shared" si="9"/>
        <v>0</v>
      </c>
      <c r="E79" s="746" t="b">
        <f t="shared" si="10"/>
        <v>0</v>
      </c>
      <c r="F79" s="746" t="b">
        <f t="shared" si="11"/>
        <v>0</v>
      </c>
      <c r="G79" s="746" t="b">
        <f t="shared" si="12"/>
        <v>0</v>
      </c>
      <c r="H79" s="741">
        <f>IF(D79=TRUE,IF(E79=FALSE,'Расчет участников НИР'!$H89*(50%/1),IF(AND(E79=TRUE,F79=TRUE,G79=TRUE),'Расчет участников НИР'!$H89*'счеталка премий'!$T$6,IF(AND(E79=TRUE,F79=TRUE),'Расчет участников НИР'!$H89*(50%/3),'Расчет участников НИР'!$H89*(50%/2)))),0)</f>
        <v>0</v>
      </c>
      <c r="I79" s="741">
        <f>IF(E79=TRUE,IF(D79=FALSE,'Расчет участников НИР'!$H89*(10%),IF(F79=FALSE,'Расчет участников НИР'!$H89*(50%/2),IF(AND(F79=TRUE,G79=TRUE),'Расчет участников НИР'!$H89*'счеталка премий'!$T$6,'Расчет участников НИР'!$H89*(50%/3)))),0)</f>
        <v>0</v>
      </c>
      <c r="J79" s="741">
        <f>IF(F79=TRUE,IF(AND(D79=FALSE,E79=FALSE),'Расчет участников НИР'!$H89*(20%),IF(D79=FALSE,'Расчет участников НИР'!$H89*(10%),IF(G79=FALSE,'Расчет участников НИР'!$H89*(50%/3),'Расчет участников НИР'!$H89*'счеталка премий'!$T$6))),0)</f>
        <v>0</v>
      </c>
      <c r="K79" s="741">
        <f>IF(G79=TRUE,IF(AND(D79=FALSE,E79=FALSE,F79=FALSE),'Расчет участников НИР'!$H89*(50%),'Расчет участников НИР'!$H89*'счеталка премий'!$T$7),0)</f>
        <v>0</v>
      </c>
      <c r="L79" s="741">
        <f t="shared" si="7"/>
        <v>0</v>
      </c>
      <c r="M79" s="741">
        <f>'Расчет участников НИР'!H89</f>
        <v>0</v>
      </c>
      <c r="O79" s="747" t="e">
        <f t="shared" si="8"/>
        <v>#DIV/0!</v>
      </c>
      <c r="P79" s="747" t="e">
        <f t="shared" si="8"/>
        <v>#DIV/0!</v>
      </c>
      <c r="Q79" s="747" t="e">
        <f t="shared" si="8"/>
        <v>#DIV/0!</v>
      </c>
      <c r="R79" s="747" t="e">
        <f t="shared" si="8"/>
        <v>#DIV/0!</v>
      </c>
    </row>
    <row r="80" spans="1:18" x14ac:dyDescent="0.25">
      <c r="A80" s="745">
        <f>'Состав ВТК'!B83</f>
        <v>0</v>
      </c>
      <c r="B80" s="739">
        <f>'Состав ВТК'!L83</f>
        <v>0</v>
      </c>
      <c r="C80" s="739">
        <f>'Состав ВТК'!M83</f>
        <v>0</v>
      </c>
      <c r="D80" s="746" t="b">
        <f t="shared" si="9"/>
        <v>0</v>
      </c>
      <c r="E80" s="746" t="b">
        <f t="shared" si="10"/>
        <v>0</v>
      </c>
      <c r="F80" s="746" t="b">
        <f t="shared" si="11"/>
        <v>0</v>
      </c>
      <c r="G80" s="746" t="b">
        <f t="shared" si="12"/>
        <v>0</v>
      </c>
      <c r="H80" s="741">
        <f>IF(D80=TRUE,IF(E80=FALSE,'Расчет участников НИР'!$H90*(50%/1),IF(AND(E80=TRUE,F80=TRUE,G80=TRUE),'Расчет участников НИР'!$H90*'счеталка премий'!$T$6,IF(AND(E80=TRUE,F80=TRUE),'Расчет участников НИР'!$H90*(50%/3),'Расчет участников НИР'!$H90*(50%/2)))),0)</f>
        <v>0</v>
      </c>
      <c r="I80" s="741">
        <f>IF(E80=TRUE,IF(D80=FALSE,'Расчет участников НИР'!$H90*(10%),IF(F80=FALSE,'Расчет участников НИР'!$H90*(50%/2),IF(AND(F80=TRUE,G80=TRUE),'Расчет участников НИР'!$H90*'счеталка премий'!$T$6,'Расчет участников НИР'!$H90*(50%/3)))),0)</f>
        <v>0</v>
      </c>
      <c r="J80" s="741">
        <f>IF(F80=TRUE,IF(AND(D80=FALSE,E80=FALSE),'Расчет участников НИР'!$H90*(20%),IF(D80=FALSE,'Расчет участников НИР'!$H90*(10%),IF(G80=FALSE,'Расчет участников НИР'!$H90*(50%/3),'Расчет участников НИР'!$H90*'счеталка премий'!$T$6))),0)</f>
        <v>0</v>
      </c>
      <c r="K80" s="741">
        <f>IF(G80=TRUE,IF(AND(D80=FALSE,E80=FALSE,F80=FALSE),'Расчет участников НИР'!$H90*(50%),'Расчет участников НИР'!$H90*'счеталка премий'!$T$7),0)</f>
        <v>0</v>
      </c>
      <c r="L80" s="741">
        <f t="shared" si="7"/>
        <v>0</v>
      </c>
      <c r="M80" s="741">
        <f>'Расчет участников НИР'!H90</f>
        <v>0</v>
      </c>
      <c r="O80" s="747" t="e">
        <f t="shared" si="8"/>
        <v>#DIV/0!</v>
      </c>
      <c r="P80" s="747" t="e">
        <f t="shared" si="8"/>
        <v>#DIV/0!</v>
      </c>
      <c r="Q80" s="747" t="e">
        <f t="shared" si="8"/>
        <v>#DIV/0!</v>
      </c>
      <c r="R80" s="747" t="e">
        <f t="shared" si="8"/>
        <v>#DIV/0!</v>
      </c>
    </row>
    <row r="81" spans="1:18" x14ac:dyDescent="0.25">
      <c r="A81" s="745">
        <f>'Состав ВТК'!B84</f>
        <v>0</v>
      </c>
      <c r="B81" s="739">
        <f>'Состав ВТК'!L84</f>
        <v>0</v>
      </c>
      <c r="C81" s="739">
        <f>'Состав ВТК'!M84</f>
        <v>0</v>
      </c>
      <c r="D81" s="746" t="b">
        <f t="shared" si="9"/>
        <v>0</v>
      </c>
      <c r="E81" s="746" t="b">
        <f t="shared" si="10"/>
        <v>0</v>
      </c>
      <c r="F81" s="746" t="b">
        <f t="shared" si="11"/>
        <v>0</v>
      </c>
      <c r="G81" s="746" t="b">
        <f t="shared" si="12"/>
        <v>0</v>
      </c>
      <c r="H81" s="741">
        <f>IF(D81=TRUE,IF(E81=FALSE,'Расчет участников НИР'!$H91*(50%/1),IF(AND(E81=TRUE,F81=TRUE,G81=TRUE),'Расчет участников НИР'!$H91*'счеталка премий'!$T$6,IF(AND(E81=TRUE,F81=TRUE),'Расчет участников НИР'!$H91*(50%/3),'Расчет участников НИР'!$H91*(50%/2)))),0)</f>
        <v>0</v>
      </c>
      <c r="I81" s="741">
        <f>IF(E81=TRUE,IF(D81=FALSE,'Расчет участников НИР'!$H91*(10%),IF(F81=FALSE,'Расчет участников НИР'!$H91*(50%/2),IF(AND(F81=TRUE,G81=TRUE),'Расчет участников НИР'!$H91*'счеталка премий'!$T$6,'Расчет участников НИР'!$H91*(50%/3)))),0)</f>
        <v>0</v>
      </c>
      <c r="J81" s="741">
        <f>IF(F81=TRUE,IF(AND(D81=FALSE,E81=FALSE),'Расчет участников НИР'!$H91*(20%),IF(D81=FALSE,'Расчет участников НИР'!$H91*(10%),IF(G81=FALSE,'Расчет участников НИР'!$H91*(50%/3),'Расчет участников НИР'!$H91*'счеталка премий'!$T$6))),0)</f>
        <v>0</v>
      </c>
      <c r="K81" s="741">
        <f>IF(G81=TRUE,IF(AND(D81=FALSE,E81=FALSE,F81=FALSE),'Расчет участников НИР'!$H91*(50%),'Расчет участников НИР'!$H91*'счеталка премий'!$T$7),0)</f>
        <v>0</v>
      </c>
      <c r="L81" s="741">
        <f t="shared" si="7"/>
        <v>0</v>
      </c>
      <c r="M81" s="741">
        <f>'Расчет участников НИР'!H91</f>
        <v>0</v>
      </c>
      <c r="O81" s="747" t="e">
        <f t="shared" si="8"/>
        <v>#DIV/0!</v>
      </c>
      <c r="P81" s="747" t="e">
        <f t="shared" si="8"/>
        <v>#DIV/0!</v>
      </c>
      <c r="Q81" s="747" t="e">
        <f t="shared" si="8"/>
        <v>#DIV/0!</v>
      </c>
      <c r="R81" s="747" t="e">
        <f t="shared" si="8"/>
        <v>#DIV/0!</v>
      </c>
    </row>
    <row r="82" spans="1:18" x14ac:dyDescent="0.25">
      <c r="A82" s="745">
        <f>'Состав ВТК'!B85</f>
        <v>0</v>
      </c>
      <c r="B82" s="739">
        <f>'Состав ВТК'!L85</f>
        <v>0</v>
      </c>
      <c r="C82" s="739">
        <f>'Состав ВТК'!M85</f>
        <v>0</v>
      </c>
      <c r="D82" s="746" t="b">
        <f t="shared" si="9"/>
        <v>0</v>
      </c>
      <c r="E82" s="746" t="b">
        <f t="shared" si="10"/>
        <v>0</v>
      </c>
      <c r="F82" s="746" t="b">
        <f t="shared" si="11"/>
        <v>0</v>
      </c>
      <c r="G82" s="746" t="b">
        <f t="shared" si="12"/>
        <v>0</v>
      </c>
      <c r="H82" s="741">
        <f>IF(D82=TRUE,IF(E82=FALSE,'Расчет участников НИР'!$H92*(50%/1),IF(AND(E82=TRUE,F82=TRUE,G82=TRUE),'Расчет участников НИР'!$H92*'счеталка премий'!$T$6,IF(AND(E82=TRUE,F82=TRUE),'Расчет участников НИР'!$H92*(50%/3),'Расчет участников НИР'!$H92*(50%/2)))),0)</f>
        <v>0</v>
      </c>
      <c r="I82" s="741">
        <f>IF(E82=TRUE,IF(D82=FALSE,'Расчет участников НИР'!$H92*(10%),IF(F82=FALSE,'Расчет участников НИР'!$H92*(50%/2),IF(AND(F82=TRUE,G82=TRUE),'Расчет участников НИР'!$H92*'счеталка премий'!$T$6,'Расчет участников НИР'!$H92*(50%/3)))),0)</f>
        <v>0</v>
      </c>
      <c r="J82" s="741">
        <f>IF(F82=TRUE,IF(AND(D82=FALSE,E82=FALSE),'Расчет участников НИР'!$H92*(20%),IF(D82=FALSE,'Расчет участников НИР'!$H92*(10%),IF(G82=FALSE,'Расчет участников НИР'!$H92*(50%/3),'Расчет участников НИР'!$H92*'счеталка премий'!$T$6))),0)</f>
        <v>0</v>
      </c>
      <c r="K82" s="741">
        <f>IF(G82=TRUE,IF(AND(D82=FALSE,E82=FALSE,F82=FALSE),'Расчет участников НИР'!$H92*(50%),'Расчет участников НИР'!$H92*'счеталка премий'!$T$7),0)</f>
        <v>0</v>
      </c>
      <c r="L82" s="741">
        <f t="shared" si="7"/>
        <v>0</v>
      </c>
      <c r="M82" s="741">
        <f>'Расчет участников НИР'!H92</f>
        <v>0</v>
      </c>
      <c r="O82" s="747" t="e">
        <f t="shared" si="8"/>
        <v>#DIV/0!</v>
      </c>
      <c r="P82" s="747" t="e">
        <f t="shared" si="8"/>
        <v>#DIV/0!</v>
      </c>
      <c r="Q82" s="747" t="e">
        <f t="shared" si="8"/>
        <v>#DIV/0!</v>
      </c>
      <c r="R82" s="747" t="e">
        <f t="shared" si="8"/>
        <v>#DIV/0!</v>
      </c>
    </row>
    <row r="83" spans="1:18" x14ac:dyDescent="0.25">
      <c r="A83" s="745">
        <f>'Состав ВТК'!B86</f>
        <v>0</v>
      </c>
      <c r="B83" s="739">
        <f>'Состав ВТК'!L86</f>
        <v>0</v>
      </c>
      <c r="C83" s="739">
        <f>'Состав ВТК'!M86</f>
        <v>0</v>
      </c>
      <c r="D83" s="746" t="b">
        <f t="shared" si="9"/>
        <v>0</v>
      </c>
      <c r="E83" s="746" t="b">
        <f t="shared" si="10"/>
        <v>0</v>
      </c>
      <c r="F83" s="746" t="b">
        <f t="shared" si="11"/>
        <v>0</v>
      </c>
      <c r="G83" s="746" t="b">
        <f t="shared" si="12"/>
        <v>0</v>
      </c>
      <c r="H83" s="741">
        <f>IF(D83=TRUE,IF(E83=FALSE,'Расчет участников НИР'!$H93*(50%/1),IF(AND(E83=TRUE,F83=TRUE,G83=TRUE),'Расчет участников НИР'!$H93*'счеталка премий'!$T$6,IF(AND(E83=TRUE,F83=TRUE),'Расчет участников НИР'!$H93*(50%/3),'Расчет участников НИР'!$H93*(50%/2)))),0)</f>
        <v>0</v>
      </c>
      <c r="I83" s="741">
        <f>IF(E83=TRUE,IF(D83=FALSE,'Расчет участников НИР'!$H93*(10%),IF(F83=FALSE,'Расчет участников НИР'!$H93*(50%/2),IF(AND(F83=TRUE,G83=TRUE),'Расчет участников НИР'!$H93*'счеталка премий'!$T$6,'Расчет участников НИР'!$H93*(50%/3)))),0)</f>
        <v>0</v>
      </c>
      <c r="J83" s="741">
        <f>IF(F83=TRUE,IF(AND(D83=FALSE,E83=FALSE),'Расчет участников НИР'!$H93*(20%),IF(D83=FALSE,'Расчет участников НИР'!$H93*(10%),IF(G83=FALSE,'Расчет участников НИР'!$H93*(50%/3),'Расчет участников НИР'!$H93*'счеталка премий'!$T$6))),0)</f>
        <v>0</v>
      </c>
      <c r="K83" s="741">
        <f>IF(G83=TRUE,IF(AND(D83=FALSE,E83=FALSE,F83=FALSE),'Расчет участников НИР'!$H93*(50%),'Расчет участников НИР'!$H93*'счеталка премий'!$T$7),0)</f>
        <v>0</v>
      </c>
      <c r="L83" s="741">
        <f t="shared" si="7"/>
        <v>0</v>
      </c>
      <c r="M83" s="741">
        <f>'Расчет участников НИР'!H93</f>
        <v>0</v>
      </c>
      <c r="O83" s="747" t="e">
        <f t="shared" si="8"/>
        <v>#DIV/0!</v>
      </c>
      <c r="P83" s="747" t="e">
        <f t="shared" si="8"/>
        <v>#DIV/0!</v>
      </c>
      <c r="Q83" s="747" t="e">
        <f t="shared" si="8"/>
        <v>#DIV/0!</v>
      </c>
      <c r="R83" s="747" t="e">
        <f t="shared" si="8"/>
        <v>#DIV/0!</v>
      </c>
    </row>
    <row r="84" spans="1:18" x14ac:dyDescent="0.25">
      <c r="A84" s="745">
        <f>'Состав ВТК'!B87</f>
        <v>0</v>
      </c>
      <c r="B84" s="739">
        <f>'Состав ВТК'!L87</f>
        <v>0</v>
      </c>
      <c r="C84" s="739">
        <f>'Состав ВТК'!M87</f>
        <v>0</v>
      </c>
      <c r="D84" s="746" t="b">
        <f t="shared" si="9"/>
        <v>0</v>
      </c>
      <c r="E84" s="746" t="b">
        <f t="shared" si="10"/>
        <v>0</v>
      </c>
      <c r="F84" s="746" t="b">
        <f t="shared" si="11"/>
        <v>0</v>
      </c>
      <c r="G84" s="746" t="b">
        <f t="shared" si="12"/>
        <v>0</v>
      </c>
      <c r="H84" s="741">
        <f>IF(D84=TRUE,IF(E84=FALSE,'Расчет участников НИР'!$H94*(50%/1),IF(AND(E84=TRUE,F84=TRUE,G84=TRUE),'Расчет участников НИР'!$H94*'счеталка премий'!$T$6,IF(AND(E84=TRUE,F84=TRUE),'Расчет участников НИР'!$H94*(50%/3),'Расчет участников НИР'!$H94*(50%/2)))),0)</f>
        <v>0</v>
      </c>
      <c r="I84" s="741">
        <f>IF(E84=TRUE,IF(D84=FALSE,'Расчет участников НИР'!$H94*(10%),IF(F84=FALSE,'Расчет участников НИР'!$H94*(50%/2),IF(AND(F84=TRUE,G84=TRUE),'Расчет участников НИР'!$H94*'счеталка премий'!$T$6,'Расчет участников НИР'!$H94*(50%/3)))),0)</f>
        <v>0</v>
      </c>
      <c r="J84" s="741">
        <f>IF(F84=TRUE,IF(AND(D84=FALSE,E84=FALSE),'Расчет участников НИР'!$H94*(20%),IF(D84=FALSE,'Расчет участников НИР'!$H94*(10%),IF(G84=FALSE,'Расчет участников НИР'!$H94*(50%/3),'Расчет участников НИР'!$H94*'счеталка премий'!$T$6))),0)</f>
        <v>0</v>
      </c>
      <c r="K84" s="741">
        <f>IF(G84=TRUE,IF(AND(D84=FALSE,E84=FALSE,F84=FALSE),'Расчет участников НИР'!$H94*(50%),'Расчет участников НИР'!$H94*'счеталка премий'!$T$7),0)</f>
        <v>0</v>
      </c>
      <c r="L84" s="741">
        <f t="shared" si="7"/>
        <v>0</v>
      </c>
      <c r="M84" s="741">
        <f>'Расчет участников НИР'!H94</f>
        <v>0</v>
      </c>
      <c r="O84" s="747" t="e">
        <f t="shared" si="8"/>
        <v>#DIV/0!</v>
      </c>
      <c r="P84" s="747" t="e">
        <f t="shared" si="8"/>
        <v>#DIV/0!</v>
      </c>
      <c r="Q84" s="747" t="e">
        <f t="shared" si="8"/>
        <v>#DIV/0!</v>
      </c>
      <c r="R84" s="747" t="e">
        <f t="shared" si="8"/>
        <v>#DIV/0!</v>
      </c>
    </row>
    <row r="85" spans="1:18" x14ac:dyDescent="0.25">
      <c r="A85" s="745">
        <f>'Состав ВТК'!B88</f>
        <v>0</v>
      </c>
      <c r="B85" s="739">
        <f>'Состав ВТК'!L88</f>
        <v>0</v>
      </c>
      <c r="C85" s="739">
        <f>'Состав ВТК'!M88</f>
        <v>0</v>
      </c>
      <c r="D85" s="746" t="b">
        <f t="shared" si="9"/>
        <v>0</v>
      </c>
      <c r="E85" s="746" t="b">
        <f t="shared" si="10"/>
        <v>0</v>
      </c>
      <c r="F85" s="746" t="b">
        <f t="shared" si="11"/>
        <v>0</v>
      </c>
      <c r="G85" s="746" t="b">
        <f t="shared" si="12"/>
        <v>0</v>
      </c>
      <c r="H85" s="741">
        <f>IF(D85=TRUE,IF(E85=FALSE,'Расчет участников НИР'!$H95*(50%/1),IF(AND(E85=TRUE,F85=TRUE,G85=TRUE),'Расчет участников НИР'!$H95*'счеталка премий'!$T$6,IF(AND(E85=TRUE,F85=TRUE),'Расчет участников НИР'!$H95*(50%/3),'Расчет участников НИР'!$H95*(50%/2)))),0)</f>
        <v>0</v>
      </c>
      <c r="I85" s="741">
        <f>IF(E85=TRUE,IF(D85=FALSE,'Расчет участников НИР'!$H95*(10%),IF(F85=FALSE,'Расчет участников НИР'!$H95*(50%/2),IF(AND(F85=TRUE,G85=TRUE),'Расчет участников НИР'!$H95*'счеталка премий'!$T$6,'Расчет участников НИР'!$H95*(50%/3)))),0)</f>
        <v>0</v>
      </c>
      <c r="J85" s="741">
        <f>IF(F85=TRUE,IF(AND(D85=FALSE,E85=FALSE),'Расчет участников НИР'!$H95*(20%),IF(D85=FALSE,'Расчет участников НИР'!$H95*(10%),IF(G85=FALSE,'Расчет участников НИР'!$H95*(50%/3),'Расчет участников НИР'!$H95*'счеталка премий'!$T$6))),0)</f>
        <v>0</v>
      </c>
      <c r="K85" s="741">
        <f>IF(G85=TRUE,IF(AND(D85=FALSE,E85=FALSE,F85=FALSE),'Расчет участников НИР'!$H95*(50%),'Расчет участников НИР'!$H95*'счеталка премий'!$T$7),0)</f>
        <v>0</v>
      </c>
      <c r="L85" s="741">
        <f t="shared" si="7"/>
        <v>0</v>
      </c>
      <c r="M85" s="741">
        <f>'Расчет участников НИР'!H95</f>
        <v>0</v>
      </c>
      <c r="O85" s="747" t="e">
        <f t="shared" si="8"/>
        <v>#DIV/0!</v>
      </c>
      <c r="P85" s="747" t="e">
        <f t="shared" si="8"/>
        <v>#DIV/0!</v>
      </c>
      <c r="Q85" s="747" t="e">
        <f t="shared" si="8"/>
        <v>#DIV/0!</v>
      </c>
      <c r="R85" s="747" t="e">
        <f t="shared" si="8"/>
        <v>#DIV/0!</v>
      </c>
    </row>
    <row r="86" spans="1:18" x14ac:dyDescent="0.25">
      <c r="A86" s="745">
        <f>'Состав ВТК'!B89</f>
        <v>0</v>
      </c>
      <c r="B86" s="739">
        <f>'Состав ВТК'!L89</f>
        <v>0</v>
      </c>
      <c r="C86" s="739">
        <f>'Состав ВТК'!M89</f>
        <v>0</v>
      </c>
      <c r="D86" s="746" t="b">
        <f t="shared" si="9"/>
        <v>0</v>
      </c>
      <c r="E86" s="746" t="b">
        <f t="shared" si="10"/>
        <v>0</v>
      </c>
      <c r="F86" s="746" t="b">
        <f t="shared" si="11"/>
        <v>0</v>
      </c>
      <c r="G86" s="746" t="b">
        <f t="shared" si="12"/>
        <v>0</v>
      </c>
      <c r="H86" s="741">
        <f>IF(D86=TRUE,IF(E86=FALSE,'Расчет участников НИР'!$H96*(50%/1),IF(AND(E86=TRUE,F86=TRUE,G86=TRUE),'Расчет участников НИР'!$H96*'счеталка премий'!$T$6,IF(AND(E86=TRUE,F86=TRUE),'Расчет участников НИР'!$H96*(50%/3),'Расчет участников НИР'!$H96*(50%/2)))),0)</f>
        <v>0</v>
      </c>
      <c r="I86" s="741">
        <f>IF(E86=TRUE,IF(D86=FALSE,'Расчет участников НИР'!$H96*(10%),IF(F86=FALSE,'Расчет участников НИР'!$H96*(50%/2),IF(AND(F86=TRUE,G86=TRUE),'Расчет участников НИР'!$H96*'счеталка премий'!$T$6,'Расчет участников НИР'!$H96*(50%/3)))),0)</f>
        <v>0</v>
      </c>
      <c r="J86" s="741">
        <f>IF(F86=TRUE,IF(AND(D86=FALSE,E86=FALSE),'Расчет участников НИР'!$H96*(20%),IF(D86=FALSE,'Расчет участников НИР'!$H96*(10%),IF(G86=FALSE,'Расчет участников НИР'!$H96*(50%/3),'Расчет участников НИР'!$H96*'счеталка премий'!$T$6))),0)</f>
        <v>0</v>
      </c>
      <c r="K86" s="741">
        <f>IF(G86=TRUE,IF(AND(D86=FALSE,E86=FALSE,F86=FALSE),'Расчет участников НИР'!$H96*(50%),'Расчет участников НИР'!$H96*'счеталка премий'!$T$7),0)</f>
        <v>0</v>
      </c>
      <c r="L86" s="741">
        <f t="shared" si="7"/>
        <v>0</v>
      </c>
      <c r="M86" s="741">
        <f>'Расчет участников НИР'!H96</f>
        <v>0</v>
      </c>
      <c r="O86" s="747" t="e">
        <f t="shared" si="8"/>
        <v>#DIV/0!</v>
      </c>
      <c r="P86" s="747" t="e">
        <f t="shared" si="8"/>
        <v>#DIV/0!</v>
      </c>
      <c r="Q86" s="747" t="e">
        <f t="shared" si="8"/>
        <v>#DIV/0!</v>
      </c>
      <c r="R86" s="747" t="e">
        <f t="shared" si="8"/>
        <v>#DIV/0!</v>
      </c>
    </row>
    <row r="87" spans="1:18" x14ac:dyDescent="0.25">
      <c r="A87" s="745">
        <f>'Состав ВТК'!B90</f>
        <v>0</v>
      </c>
      <c r="B87" s="739">
        <f>'Состав ВТК'!L90</f>
        <v>0</v>
      </c>
      <c r="C87" s="739">
        <f>'Состав ВТК'!M90</f>
        <v>0</v>
      </c>
      <c r="D87" s="746" t="b">
        <f t="shared" si="9"/>
        <v>0</v>
      </c>
      <c r="E87" s="746" t="b">
        <f t="shared" si="10"/>
        <v>0</v>
      </c>
      <c r="F87" s="746" t="b">
        <f t="shared" si="11"/>
        <v>0</v>
      </c>
      <c r="G87" s="746" t="b">
        <f t="shared" si="12"/>
        <v>0</v>
      </c>
      <c r="H87" s="741">
        <f>IF(D87=TRUE,IF(E87=FALSE,'Расчет участников НИР'!$H97*(50%/1),IF(AND(E87=TRUE,F87=TRUE,G87=TRUE),'Расчет участников НИР'!$H97*'счеталка премий'!$T$6,IF(AND(E87=TRUE,F87=TRUE),'Расчет участников НИР'!$H97*(50%/3),'Расчет участников НИР'!$H97*(50%/2)))),0)</f>
        <v>0</v>
      </c>
      <c r="I87" s="741">
        <f>IF(E87=TRUE,IF(D87=FALSE,'Расчет участников НИР'!$H97*(10%),IF(F87=FALSE,'Расчет участников НИР'!$H97*(50%/2),IF(AND(F87=TRUE,G87=TRUE),'Расчет участников НИР'!$H97*'счеталка премий'!$T$6,'Расчет участников НИР'!$H97*(50%/3)))),0)</f>
        <v>0</v>
      </c>
      <c r="J87" s="741">
        <f>IF(F87=TRUE,IF(AND(D87=FALSE,E87=FALSE),'Расчет участников НИР'!$H97*(20%),IF(D87=FALSE,'Расчет участников НИР'!$H97*(10%),IF(G87=FALSE,'Расчет участников НИР'!$H97*(50%/3),'Расчет участников НИР'!$H97*'счеталка премий'!$T$6))),0)</f>
        <v>0</v>
      </c>
      <c r="K87" s="741">
        <f>IF(G87=TRUE,IF(AND(D87=FALSE,E87=FALSE,F87=FALSE),'Расчет участников НИР'!$H97*(50%),'Расчет участников НИР'!$H97*'счеталка премий'!$T$7),0)</f>
        <v>0</v>
      </c>
      <c r="L87" s="741">
        <f t="shared" si="7"/>
        <v>0</v>
      </c>
      <c r="M87" s="741">
        <f>'Расчет участников НИР'!H97</f>
        <v>0</v>
      </c>
      <c r="O87" s="747" t="e">
        <f t="shared" si="8"/>
        <v>#DIV/0!</v>
      </c>
      <c r="P87" s="747" t="e">
        <f t="shared" si="8"/>
        <v>#DIV/0!</v>
      </c>
      <c r="Q87" s="747" t="e">
        <f t="shared" si="8"/>
        <v>#DIV/0!</v>
      </c>
      <c r="R87" s="747" t="e">
        <f t="shared" si="8"/>
        <v>#DIV/0!</v>
      </c>
    </row>
    <row r="88" spans="1:18" x14ac:dyDescent="0.25">
      <c r="A88" s="745">
        <f>'Состав ВТК'!B91</f>
        <v>0</v>
      </c>
      <c r="B88" s="739">
        <f>'Состав ВТК'!L91</f>
        <v>0</v>
      </c>
      <c r="C88" s="739">
        <f>'Состав ВТК'!M91</f>
        <v>0</v>
      </c>
      <c r="D88" s="746" t="b">
        <f t="shared" si="9"/>
        <v>0</v>
      </c>
      <c r="E88" s="746" t="b">
        <f t="shared" si="10"/>
        <v>0</v>
      </c>
      <c r="F88" s="746" t="b">
        <f t="shared" si="11"/>
        <v>0</v>
      </c>
      <c r="G88" s="746" t="b">
        <f t="shared" si="12"/>
        <v>0</v>
      </c>
      <c r="H88" s="741">
        <f>IF(D88=TRUE,IF(E88=FALSE,'Расчет участников НИР'!$H98*(50%/1),IF(AND(E88=TRUE,F88=TRUE,G88=TRUE),'Расчет участников НИР'!$H98*'счеталка премий'!$T$6,IF(AND(E88=TRUE,F88=TRUE),'Расчет участников НИР'!$H98*(50%/3),'Расчет участников НИР'!$H98*(50%/2)))),0)</f>
        <v>0</v>
      </c>
      <c r="I88" s="741">
        <f>IF(E88=TRUE,IF(D88=FALSE,'Расчет участников НИР'!$H98*(10%),IF(F88=FALSE,'Расчет участников НИР'!$H98*(50%/2),IF(AND(F88=TRUE,G88=TRUE),'Расчет участников НИР'!$H98*'счеталка премий'!$T$6,'Расчет участников НИР'!$H98*(50%/3)))),0)</f>
        <v>0</v>
      </c>
      <c r="J88" s="741">
        <f>IF(F88=TRUE,IF(AND(D88=FALSE,E88=FALSE),'Расчет участников НИР'!$H98*(20%),IF(D88=FALSE,'Расчет участников НИР'!$H98*(10%),IF(G88=FALSE,'Расчет участников НИР'!$H98*(50%/3),'Расчет участников НИР'!$H98*'счеталка премий'!$T$6))),0)</f>
        <v>0</v>
      </c>
      <c r="K88" s="741">
        <f>IF(G88=TRUE,IF(AND(D88=FALSE,E88=FALSE,F88=FALSE),'Расчет участников НИР'!$H98*(50%),'Расчет участников НИР'!$H98*'счеталка премий'!$T$7),0)</f>
        <v>0</v>
      </c>
      <c r="L88" s="741">
        <f t="shared" ref="L88:L151" si="13">SUM(H88:K88)</f>
        <v>0</v>
      </c>
      <c r="M88" s="741">
        <f>'Расчет участников НИР'!H98</f>
        <v>0</v>
      </c>
      <c r="O88" s="747" t="e">
        <f t="shared" si="8"/>
        <v>#DIV/0!</v>
      </c>
      <c r="P88" s="747" t="e">
        <f t="shared" si="8"/>
        <v>#DIV/0!</v>
      </c>
      <c r="Q88" s="747" t="e">
        <f t="shared" si="8"/>
        <v>#DIV/0!</v>
      </c>
      <c r="R88" s="747" t="e">
        <f t="shared" si="8"/>
        <v>#DIV/0!</v>
      </c>
    </row>
    <row r="89" spans="1:18" x14ac:dyDescent="0.25">
      <c r="A89" s="745">
        <f>'Состав ВТК'!B92</f>
        <v>0</v>
      </c>
      <c r="B89" s="739">
        <f>'Состав ВТК'!L92</f>
        <v>0</v>
      </c>
      <c r="C89" s="739">
        <f>'Состав ВТК'!M92</f>
        <v>0</v>
      </c>
      <c r="D89" s="746" t="b">
        <f t="shared" si="9"/>
        <v>0</v>
      </c>
      <c r="E89" s="746" t="b">
        <f t="shared" si="10"/>
        <v>0</v>
      </c>
      <c r="F89" s="746" t="b">
        <f t="shared" si="11"/>
        <v>0</v>
      </c>
      <c r="G89" s="746" t="b">
        <f t="shared" si="12"/>
        <v>0</v>
      </c>
      <c r="H89" s="741">
        <f>IF(D89=TRUE,IF(E89=FALSE,'Расчет участников НИР'!$H99*(50%/1),IF(AND(E89=TRUE,F89=TRUE,G89=TRUE),'Расчет участников НИР'!$H99*'счеталка премий'!$T$6,IF(AND(E89=TRUE,F89=TRUE),'Расчет участников НИР'!$H99*(50%/3),'Расчет участников НИР'!$H99*(50%/2)))),0)</f>
        <v>0</v>
      </c>
      <c r="I89" s="741">
        <f>IF(E89=TRUE,IF(D89=FALSE,'Расчет участников НИР'!$H99*(10%),IF(F89=FALSE,'Расчет участников НИР'!$H99*(50%/2),IF(AND(F89=TRUE,G89=TRUE),'Расчет участников НИР'!$H99*'счеталка премий'!$T$6,'Расчет участников НИР'!$H99*(50%/3)))),0)</f>
        <v>0</v>
      </c>
      <c r="J89" s="741">
        <f>IF(F89=TRUE,IF(AND(D89=FALSE,E89=FALSE),'Расчет участников НИР'!$H99*(20%),IF(D89=FALSE,'Расчет участников НИР'!$H99*(10%),IF(G89=FALSE,'Расчет участников НИР'!$H99*(50%/3),'Расчет участников НИР'!$H99*'счеталка премий'!$T$6))),0)</f>
        <v>0</v>
      </c>
      <c r="K89" s="741">
        <f>IF(G89=TRUE,IF(AND(D89=FALSE,E89=FALSE,F89=FALSE),'Расчет участников НИР'!$H99*(50%),'Расчет участников НИР'!$H99*'счеталка премий'!$T$7),0)</f>
        <v>0</v>
      </c>
      <c r="L89" s="741">
        <f t="shared" si="13"/>
        <v>0</v>
      </c>
      <c r="M89" s="741">
        <f>'Расчет участников НИР'!H99</f>
        <v>0</v>
      </c>
      <c r="O89" s="747" t="e">
        <f t="shared" si="8"/>
        <v>#DIV/0!</v>
      </c>
      <c r="P89" s="747" t="e">
        <f t="shared" si="8"/>
        <v>#DIV/0!</v>
      </c>
      <c r="Q89" s="747" t="e">
        <f t="shared" si="8"/>
        <v>#DIV/0!</v>
      </c>
      <c r="R89" s="747" t="e">
        <f t="shared" si="8"/>
        <v>#DIV/0!</v>
      </c>
    </row>
    <row r="90" spans="1:18" x14ac:dyDescent="0.25">
      <c r="A90" s="745">
        <f>'Состав ВТК'!B93</f>
        <v>0</v>
      </c>
      <c r="B90" s="739">
        <f>'Состав ВТК'!L93</f>
        <v>0</v>
      </c>
      <c r="C90" s="739">
        <f>'Состав ВТК'!M93</f>
        <v>0</v>
      </c>
      <c r="D90" s="746" t="b">
        <f t="shared" si="9"/>
        <v>0</v>
      </c>
      <c r="E90" s="746" t="b">
        <f t="shared" si="10"/>
        <v>0</v>
      </c>
      <c r="F90" s="746" t="b">
        <f t="shared" si="11"/>
        <v>0</v>
      </c>
      <c r="G90" s="746" t="b">
        <f t="shared" si="12"/>
        <v>0</v>
      </c>
      <c r="H90" s="741">
        <f>IF(D90=TRUE,IF(E90=FALSE,'Расчет участников НИР'!$H100*(50%/1),IF(AND(E90=TRUE,F90=TRUE,G90=TRUE),'Расчет участников НИР'!$H100*'счеталка премий'!$T$6,IF(AND(E90=TRUE,F90=TRUE),'Расчет участников НИР'!$H100*(50%/3),'Расчет участников НИР'!$H100*(50%/2)))),0)</f>
        <v>0</v>
      </c>
      <c r="I90" s="741">
        <f>IF(E90=TRUE,IF(D90=FALSE,'Расчет участников НИР'!$H100*(10%),IF(F90=FALSE,'Расчет участников НИР'!$H100*(50%/2),IF(AND(F90=TRUE,G90=TRUE),'Расчет участников НИР'!$H100*'счеталка премий'!$T$6,'Расчет участников НИР'!$H100*(50%/3)))),0)</f>
        <v>0</v>
      </c>
      <c r="J90" s="741">
        <f>IF(F90=TRUE,IF(AND(D90=FALSE,E90=FALSE),'Расчет участников НИР'!$H100*(20%),IF(D90=FALSE,'Расчет участников НИР'!$H100*(10%),IF(G90=FALSE,'Расчет участников НИР'!$H100*(50%/3),'Расчет участников НИР'!$H100*'счеталка премий'!$T$6))),0)</f>
        <v>0</v>
      </c>
      <c r="K90" s="741">
        <f>IF(G90=TRUE,IF(AND(D90=FALSE,E90=FALSE,F90=FALSE),'Расчет участников НИР'!$H100*(50%),'Расчет участников НИР'!$H100*'счеталка премий'!$T$7),0)</f>
        <v>0</v>
      </c>
      <c r="L90" s="741">
        <f t="shared" si="13"/>
        <v>0</v>
      </c>
      <c r="M90" s="741">
        <f>'Расчет участников НИР'!H100</f>
        <v>0</v>
      </c>
      <c r="O90" s="747" t="e">
        <f t="shared" si="8"/>
        <v>#DIV/0!</v>
      </c>
      <c r="P90" s="747" t="e">
        <f t="shared" si="8"/>
        <v>#DIV/0!</v>
      </c>
      <c r="Q90" s="747" t="e">
        <f t="shared" si="8"/>
        <v>#DIV/0!</v>
      </c>
      <c r="R90" s="747" t="e">
        <f t="shared" si="8"/>
        <v>#DIV/0!</v>
      </c>
    </row>
    <row r="91" spans="1:18" x14ac:dyDescent="0.25">
      <c r="A91" s="745">
        <f>'Состав ВТК'!B94</f>
        <v>0</v>
      </c>
      <c r="B91" s="739">
        <f>'Состав ВТК'!L94</f>
        <v>0</v>
      </c>
      <c r="C91" s="739">
        <f>'Состав ВТК'!M94</f>
        <v>0</v>
      </c>
      <c r="D91" s="746" t="b">
        <f t="shared" si="9"/>
        <v>0</v>
      </c>
      <c r="E91" s="746" t="b">
        <f t="shared" si="10"/>
        <v>0</v>
      </c>
      <c r="F91" s="746" t="b">
        <f t="shared" si="11"/>
        <v>0</v>
      </c>
      <c r="G91" s="746" t="b">
        <f t="shared" si="12"/>
        <v>0</v>
      </c>
      <c r="H91" s="741">
        <f>IF(D91=TRUE,IF(E91=FALSE,'Расчет участников НИР'!$H101*(50%/1),IF(AND(E91=TRUE,F91=TRUE,G91=TRUE),'Расчет участников НИР'!$H101*'счеталка премий'!$T$6,IF(AND(E91=TRUE,F91=TRUE),'Расчет участников НИР'!$H101*(50%/3),'Расчет участников НИР'!$H101*(50%/2)))),0)</f>
        <v>0</v>
      </c>
      <c r="I91" s="741">
        <f>IF(E91=TRUE,IF(D91=FALSE,'Расчет участников НИР'!$H101*(10%),IF(F91=FALSE,'Расчет участников НИР'!$H101*(50%/2),IF(AND(F91=TRUE,G91=TRUE),'Расчет участников НИР'!$H101*'счеталка премий'!$T$6,'Расчет участников НИР'!$H101*(50%/3)))),0)</f>
        <v>0</v>
      </c>
      <c r="J91" s="741">
        <f>IF(F91=TRUE,IF(AND(D91=FALSE,E91=FALSE),'Расчет участников НИР'!$H101*(20%),IF(D91=FALSE,'Расчет участников НИР'!$H101*(10%),IF(G91=FALSE,'Расчет участников НИР'!$H101*(50%/3),'Расчет участников НИР'!$H101*'счеталка премий'!$T$6))),0)</f>
        <v>0</v>
      </c>
      <c r="K91" s="741">
        <f>IF(G91=TRUE,IF(AND(D91=FALSE,E91=FALSE,F91=FALSE),'Расчет участников НИР'!$H101*(50%),'Расчет участников НИР'!$H101*'счеталка премий'!$T$7),0)</f>
        <v>0</v>
      </c>
      <c r="L91" s="741">
        <f t="shared" si="13"/>
        <v>0</v>
      </c>
      <c r="M91" s="741">
        <f>'Расчет участников НИР'!H101</f>
        <v>0</v>
      </c>
      <c r="O91" s="747" t="e">
        <f t="shared" si="8"/>
        <v>#DIV/0!</v>
      </c>
      <c r="P91" s="747" t="e">
        <f t="shared" si="8"/>
        <v>#DIV/0!</v>
      </c>
      <c r="Q91" s="747" t="e">
        <f t="shared" si="8"/>
        <v>#DIV/0!</v>
      </c>
      <c r="R91" s="747" t="e">
        <f t="shared" si="8"/>
        <v>#DIV/0!</v>
      </c>
    </row>
    <row r="92" spans="1:18" x14ac:dyDescent="0.25">
      <c r="A92" s="745">
        <f>'Состав ВТК'!B95</f>
        <v>0</v>
      </c>
      <c r="B92" s="739">
        <f>'Состав ВТК'!L95</f>
        <v>0</v>
      </c>
      <c r="C92" s="739">
        <f>'Состав ВТК'!M95</f>
        <v>0</v>
      </c>
      <c r="D92" s="746" t="b">
        <f t="shared" si="9"/>
        <v>0</v>
      </c>
      <c r="E92" s="746" t="b">
        <f t="shared" si="10"/>
        <v>0</v>
      </c>
      <c r="F92" s="746" t="b">
        <f t="shared" si="11"/>
        <v>0</v>
      </c>
      <c r="G92" s="746" t="b">
        <f t="shared" si="12"/>
        <v>0</v>
      </c>
      <c r="H92" s="741">
        <f>IF(D92=TRUE,IF(E92=FALSE,'Расчет участников НИР'!$H102*(50%/1),IF(AND(E92=TRUE,F92=TRUE,G92=TRUE),'Расчет участников НИР'!$H102*'счеталка премий'!$T$6,IF(AND(E92=TRUE,F92=TRUE),'Расчет участников НИР'!$H102*(50%/3),'Расчет участников НИР'!$H102*(50%/2)))),0)</f>
        <v>0</v>
      </c>
      <c r="I92" s="741">
        <f>IF(E92=TRUE,IF(D92=FALSE,'Расчет участников НИР'!$H102*(10%),IF(F92=FALSE,'Расчет участников НИР'!$H102*(50%/2),IF(AND(F92=TRUE,G92=TRUE),'Расчет участников НИР'!$H102*'счеталка премий'!$T$6,'Расчет участников НИР'!$H102*(50%/3)))),0)</f>
        <v>0</v>
      </c>
      <c r="J92" s="741">
        <f>IF(F92=TRUE,IF(AND(D92=FALSE,E92=FALSE),'Расчет участников НИР'!$H102*(20%),IF(D92=FALSE,'Расчет участников НИР'!$H102*(10%),IF(G92=FALSE,'Расчет участников НИР'!$H102*(50%/3),'Расчет участников НИР'!$H102*'счеталка премий'!$T$6))),0)</f>
        <v>0</v>
      </c>
      <c r="K92" s="741">
        <f>IF(G92=TRUE,IF(AND(D92=FALSE,E92=FALSE,F92=FALSE),'Расчет участников НИР'!$H102*(50%),'Расчет участников НИР'!$H102*'счеталка премий'!$T$7),0)</f>
        <v>0</v>
      </c>
      <c r="L92" s="741">
        <f t="shared" si="13"/>
        <v>0</v>
      </c>
      <c r="M92" s="741">
        <f>'Расчет участников НИР'!H102</f>
        <v>0</v>
      </c>
      <c r="O92" s="747" t="e">
        <f t="shared" si="8"/>
        <v>#DIV/0!</v>
      </c>
      <c r="P92" s="747" t="e">
        <f t="shared" si="8"/>
        <v>#DIV/0!</v>
      </c>
      <c r="Q92" s="747" t="e">
        <f t="shared" si="8"/>
        <v>#DIV/0!</v>
      </c>
      <c r="R92" s="747" t="e">
        <f t="shared" si="8"/>
        <v>#DIV/0!</v>
      </c>
    </row>
    <row r="93" spans="1:18" x14ac:dyDescent="0.25">
      <c r="A93" s="745">
        <f>'Состав ВТК'!B96</f>
        <v>0</v>
      </c>
      <c r="B93" s="739">
        <f>'Состав ВТК'!L96</f>
        <v>0</v>
      </c>
      <c r="C93" s="739">
        <f>'Состав ВТК'!M96</f>
        <v>0</v>
      </c>
      <c r="D93" s="746" t="b">
        <f t="shared" si="9"/>
        <v>0</v>
      </c>
      <c r="E93" s="746" t="b">
        <f t="shared" si="10"/>
        <v>0</v>
      </c>
      <c r="F93" s="746" t="b">
        <f t="shared" si="11"/>
        <v>0</v>
      </c>
      <c r="G93" s="746" t="b">
        <f t="shared" si="12"/>
        <v>0</v>
      </c>
      <c r="H93" s="741">
        <f>IF(D93=TRUE,IF(E93=FALSE,'Расчет участников НИР'!$H103*(50%/1),IF(AND(E93=TRUE,F93=TRUE,G93=TRUE),'Расчет участников НИР'!$H103*'счеталка премий'!$T$6,IF(AND(E93=TRUE,F93=TRUE),'Расчет участников НИР'!$H103*(50%/3),'Расчет участников НИР'!$H103*(50%/2)))),0)</f>
        <v>0</v>
      </c>
      <c r="I93" s="741">
        <f>IF(E93=TRUE,IF(D93=FALSE,'Расчет участников НИР'!$H103*(10%),IF(F93=FALSE,'Расчет участников НИР'!$H103*(50%/2),IF(AND(F93=TRUE,G93=TRUE),'Расчет участников НИР'!$H103*'счеталка премий'!$T$6,'Расчет участников НИР'!$H103*(50%/3)))),0)</f>
        <v>0</v>
      </c>
      <c r="J93" s="741">
        <f>IF(F93=TRUE,IF(AND(D93=FALSE,E93=FALSE),'Расчет участников НИР'!$H103*(20%),IF(D93=FALSE,'Расчет участников НИР'!$H103*(10%),IF(G93=FALSE,'Расчет участников НИР'!$H103*(50%/3),'Расчет участников НИР'!$H103*'счеталка премий'!$T$6))),0)</f>
        <v>0</v>
      </c>
      <c r="K93" s="741">
        <f>IF(G93=TRUE,IF(AND(D93=FALSE,E93=FALSE,F93=FALSE),'Расчет участников НИР'!$H103*(50%),'Расчет участников НИР'!$H103*'счеталка премий'!$T$7),0)</f>
        <v>0</v>
      </c>
      <c r="L93" s="741">
        <f t="shared" si="13"/>
        <v>0</v>
      </c>
      <c r="M93" s="741">
        <f>'Расчет участников НИР'!H103</f>
        <v>0</v>
      </c>
      <c r="O93" s="747" t="e">
        <f t="shared" si="8"/>
        <v>#DIV/0!</v>
      </c>
      <c r="P93" s="747" t="e">
        <f t="shared" si="8"/>
        <v>#DIV/0!</v>
      </c>
      <c r="Q93" s="747" t="e">
        <f t="shared" si="8"/>
        <v>#DIV/0!</v>
      </c>
      <c r="R93" s="747" t="e">
        <f t="shared" si="8"/>
        <v>#DIV/0!</v>
      </c>
    </row>
    <row r="94" spans="1:18" x14ac:dyDescent="0.25">
      <c r="A94" s="745">
        <f>'Состав ВТК'!B97</f>
        <v>0</v>
      </c>
      <c r="B94" s="739">
        <f>'Состав ВТК'!L97</f>
        <v>0</v>
      </c>
      <c r="C94" s="739">
        <f>'Состав ВТК'!M97</f>
        <v>0</v>
      </c>
      <c r="D94" s="746" t="b">
        <f t="shared" si="9"/>
        <v>0</v>
      </c>
      <c r="E94" s="746" t="b">
        <f t="shared" si="10"/>
        <v>0</v>
      </c>
      <c r="F94" s="746" t="b">
        <f t="shared" si="11"/>
        <v>0</v>
      </c>
      <c r="G94" s="746" t="b">
        <f t="shared" si="12"/>
        <v>0</v>
      </c>
      <c r="H94" s="741">
        <f>IF(D94=TRUE,IF(E94=FALSE,'Расчет участников НИР'!$H104*(50%/1),IF(AND(E94=TRUE,F94=TRUE,G94=TRUE),'Расчет участников НИР'!$H104*'счеталка премий'!$T$6,IF(AND(E94=TRUE,F94=TRUE),'Расчет участников НИР'!$H104*(50%/3),'Расчет участников НИР'!$H104*(50%/2)))),0)</f>
        <v>0</v>
      </c>
      <c r="I94" s="741">
        <f>IF(E94=TRUE,IF(D94=FALSE,'Расчет участников НИР'!$H104*(10%),IF(F94=FALSE,'Расчет участников НИР'!$H104*(50%/2),IF(AND(F94=TRUE,G94=TRUE),'Расчет участников НИР'!$H104*'счеталка премий'!$T$6,'Расчет участников НИР'!$H104*(50%/3)))),0)</f>
        <v>0</v>
      </c>
      <c r="J94" s="741">
        <f>IF(F94=TRUE,IF(AND(D94=FALSE,E94=FALSE),'Расчет участников НИР'!$H104*(20%),IF(D94=FALSE,'Расчет участников НИР'!$H104*(10%),IF(G94=FALSE,'Расчет участников НИР'!$H104*(50%/3),'Расчет участников НИР'!$H104*'счеталка премий'!$T$6))),0)</f>
        <v>0</v>
      </c>
      <c r="K94" s="741">
        <f>IF(G94=TRUE,IF(AND(D94=FALSE,E94=FALSE,F94=FALSE),'Расчет участников НИР'!$H104*(50%),'Расчет участников НИР'!$H104*'счеталка премий'!$T$7),0)</f>
        <v>0</v>
      </c>
      <c r="L94" s="741">
        <f t="shared" si="13"/>
        <v>0</v>
      </c>
      <c r="M94" s="741">
        <f>'Расчет участников НИР'!H104</f>
        <v>0</v>
      </c>
      <c r="O94" s="747" t="e">
        <f t="shared" si="8"/>
        <v>#DIV/0!</v>
      </c>
      <c r="P94" s="747" t="e">
        <f t="shared" si="8"/>
        <v>#DIV/0!</v>
      </c>
      <c r="Q94" s="747" t="e">
        <f t="shared" si="8"/>
        <v>#DIV/0!</v>
      </c>
      <c r="R94" s="747" t="e">
        <f t="shared" si="8"/>
        <v>#DIV/0!</v>
      </c>
    </row>
    <row r="95" spans="1:18" x14ac:dyDescent="0.25">
      <c r="A95" s="745">
        <f>'Состав ВТК'!B98</f>
        <v>0</v>
      </c>
      <c r="B95" s="739">
        <f>'Состав ВТК'!L98</f>
        <v>0</v>
      </c>
      <c r="C95" s="739">
        <f>'Состав ВТК'!M98</f>
        <v>0</v>
      </c>
      <c r="D95" s="746" t="b">
        <f t="shared" si="9"/>
        <v>0</v>
      </c>
      <c r="E95" s="746" t="b">
        <f t="shared" si="10"/>
        <v>0</v>
      </c>
      <c r="F95" s="746" t="b">
        <f t="shared" si="11"/>
        <v>0</v>
      </c>
      <c r="G95" s="746" t="b">
        <f t="shared" si="12"/>
        <v>0</v>
      </c>
      <c r="H95" s="741">
        <f>IF(D95=TRUE,IF(E95=FALSE,'Расчет участников НИР'!$H105*(50%/1),IF(AND(E95=TRUE,F95=TRUE,G95=TRUE),'Расчет участников НИР'!$H105*'счеталка премий'!$T$6,IF(AND(E95=TRUE,F95=TRUE),'Расчет участников НИР'!$H105*(50%/3),'Расчет участников НИР'!$H105*(50%/2)))),0)</f>
        <v>0</v>
      </c>
      <c r="I95" s="741">
        <f>IF(E95=TRUE,IF(D95=FALSE,'Расчет участников НИР'!$H105*(10%),IF(F95=FALSE,'Расчет участников НИР'!$H105*(50%/2),IF(AND(F95=TRUE,G95=TRUE),'Расчет участников НИР'!$H105*'счеталка премий'!$T$6,'Расчет участников НИР'!$H105*(50%/3)))),0)</f>
        <v>0</v>
      </c>
      <c r="J95" s="741">
        <f>IF(F95=TRUE,IF(AND(D95=FALSE,E95=FALSE),'Расчет участников НИР'!$H105*(20%),IF(D95=FALSE,'Расчет участников НИР'!$H105*(10%),IF(G95=FALSE,'Расчет участников НИР'!$H105*(50%/3),'Расчет участников НИР'!$H105*'счеталка премий'!$T$6))),0)</f>
        <v>0</v>
      </c>
      <c r="K95" s="741">
        <f>IF(G95=TRUE,IF(AND(D95=FALSE,E95=FALSE,F95=FALSE),'Расчет участников НИР'!$H105*(50%),'Расчет участников НИР'!$H105*'счеталка премий'!$T$7),0)</f>
        <v>0</v>
      </c>
      <c r="L95" s="741">
        <f t="shared" si="13"/>
        <v>0</v>
      </c>
      <c r="M95" s="741">
        <f>'Расчет участников НИР'!H105</f>
        <v>0</v>
      </c>
      <c r="O95" s="747" t="e">
        <f t="shared" si="8"/>
        <v>#DIV/0!</v>
      </c>
      <c r="P95" s="747" t="e">
        <f t="shared" si="8"/>
        <v>#DIV/0!</v>
      </c>
      <c r="Q95" s="747" t="e">
        <f t="shared" si="8"/>
        <v>#DIV/0!</v>
      </c>
      <c r="R95" s="747" t="e">
        <f t="shared" si="8"/>
        <v>#DIV/0!</v>
      </c>
    </row>
    <row r="96" spans="1:18" x14ac:dyDescent="0.25">
      <c r="A96" s="745">
        <f>'Состав ВТК'!B99</f>
        <v>0</v>
      </c>
      <c r="B96" s="739">
        <f>'Состав ВТК'!L99</f>
        <v>0</v>
      </c>
      <c r="C96" s="739">
        <f>'Состав ВТК'!M99</f>
        <v>0</v>
      </c>
      <c r="D96" s="746" t="b">
        <f t="shared" si="9"/>
        <v>0</v>
      </c>
      <c r="E96" s="746" t="b">
        <f t="shared" si="10"/>
        <v>0</v>
      </c>
      <c r="F96" s="746" t="b">
        <f t="shared" si="11"/>
        <v>0</v>
      </c>
      <c r="G96" s="746" t="b">
        <f t="shared" si="12"/>
        <v>0</v>
      </c>
      <c r="H96" s="741">
        <f>IF(D96=TRUE,IF(E96=FALSE,'Расчет участников НИР'!$H106*(50%/1),IF(AND(E96=TRUE,F96=TRUE,G96=TRUE),'Расчет участников НИР'!$H106*'счеталка премий'!$T$6,IF(AND(E96=TRUE,F96=TRUE),'Расчет участников НИР'!$H106*(50%/3),'Расчет участников НИР'!$H106*(50%/2)))),0)</f>
        <v>0</v>
      </c>
      <c r="I96" s="741">
        <f>IF(E96=TRUE,IF(D96=FALSE,'Расчет участников НИР'!$H106*(10%),IF(F96=FALSE,'Расчет участников НИР'!$H106*(50%/2),IF(AND(F96=TRUE,G96=TRUE),'Расчет участников НИР'!$H106*'счеталка премий'!$T$6,'Расчет участников НИР'!$H106*(50%/3)))),0)</f>
        <v>0</v>
      </c>
      <c r="J96" s="741">
        <f>IF(F96=TRUE,IF(AND(D96=FALSE,E96=FALSE),'Расчет участников НИР'!$H106*(20%),IF(D96=FALSE,'Расчет участников НИР'!$H106*(10%),IF(G96=FALSE,'Расчет участников НИР'!$H106*(50%/3),'Расчет участников НИР'!$H106*'счеталка премий'!$T$6))),0)</f>
        <v>0</v>
      </c>
      <c r="K96" s="741">
        <f>IF(G96=TRUE,IF(AND(D96=FALSE,E96=FALSE,F96=FALSE),'Расчет участников НИР'!$H106*(50%),'Расчет участников НИР'!$H106*'счеталка премий'!$T$7),0)</f>
        <v>0</v>
      </c>
      <c r="L96" s="741">
        <f t="shared" si="13"/>
        <v>0</v>
      </c>
      <c r="M96" s="741">
        <f>'Расчет участников НИР'!H106</f>
        <v>0</v>
      </c>
      <c r="O96" s="747" t="e">
        <f t="shared" si="8"/>
        <v>#DIV/0!</v>
      </c>
      <c r="P96" s="747" t="e">
        <f t="shared" si="8"/>
        <v>#DIV/0!</v>
      </c>
      <c r="Q96" s="747" t="e">
        <f t="shared" si="8"/>
        <v>#DIV/0!</v>
      </c>
      <c r="R96" s="747" t="e">
        <f t="shared" si="8"/>
        <v>#DIV/0!</v>
      </c>
    </row>
    <row r="97" spans="1:18" x14ac:dyDescent="0.25">
      <c r="A97" s="745">
        <f>'Состав ВТК'!B100</f>
        <v>0</v>
      </c>
      <c r="B97" s="739">
        <f>'Состав ВТК'!L100</f>
        <v>0</v>
      </c>
      <c r="C97" s="739">
        <f>'Состав ВТК'!M100</f>
        <v>0</v>
      </c>
      <c r="D97" s="746" t="b">
        <f t="shared" si="9"/>
        <v>0</v>
      </c>
      <c r="E97" s="746" t="b">
        <f t="shared" si="10"/>
        <v>0</v>
      </c>
      <c r="F97" s="746" t="b">
        <f t="shared" si="11"/>
        <v>0</v>
      </c>
      <c r="G97" s="746" t="b">
        <f t="shared" si="12"/>
        <v>0</v>
      </c>
      <c r="H97" s="741">
        <f>IF(D97=TRUE,IF(E97=FALSE,'Расчет участников НИР'!$H107*(50%/1),IF(AND(E97=TRUE,F97=TRUE,G97=TRUE),'Расчет участников НИР'!$H107*'счеталка премий'!$T$6,IF(AND(E97=TRUE,F97=TRUE),'Расчет участников НИР'!$H107*(50%/3),'Расчет участников НИР'!$H107*(50%/2)))),0)</f>
        <v>0</v>
      </c>
      <c r="I97" s="741">
        <f>IF(E97=TRUE,IF(D97=FALSE,'Расчет участников НИР'!$H107*(10%),IF(F97=FALSE,'Расчет участников НИР'!$H107*(50%/2),IF(AND(F97=TRUE,G97=TRUE),'Расчет участников НИР'!$H107*'счеталка премий'!$T$6,'Расчет участников НИР'!$H107*(50%/3)))),0)</f>
        <v>0</v>
      </c>
      <c r="J97" s="741">
        <f>IF(F97=TRUE,IF(AND(D97=FALSE,E97=FALSE),'Расчет участников НИР'!$H107*(20%),IF(D97=FALSE,'Расчет участников НИР'!$H107*(10%),IF(G97=FALSE,'Расчет участников НИР'!$H107*(50%/3),'Расчет участников НИР'!$H107*'счеталка премий'!$T$6))),0)</f>
        <v>0</v>
      </c>
      <c r="K97" s="741">
        <f>IF(G97=TRUE,IF(AND(D97=FALSE,E97=FALSE,F97=FALSE),'Расчет участников НИР'!$H107*(50%),'Расчет участников НИР'!$H107*'счеталка премий'!$T$7),0)</f>
        <v>0</v>
      </c>
      <c r="L97" s="741">
        <f t="shared" si="13"/>
        <v>0</v>
      </c>
      <c r="M97" s="741">
        <f>'Расчет участников НИР'!H107</f>
        <v>0</v>
      </c>
      <c r="O97" s="747" t="e">
        <f t="shared" si="8"/>
        <v>#DIV/0!</v>
      </c>
      <c r="P97" s="747" t="e">
        <f t="shared" si="8"/>
        <v>#DIV/0!</v>
      </c>
      <c r="Q97" s="747" t="e">
        <f t="shared" si="8"/>
        <v>#DIV/0!</v>
      </c>
      <c r="R97" s="747" t="e">
        <f t="shared" ref="R97:R160" si="14">K97/$M97</f>
        <v>#DIV/0!</v>
      </c>
    </row>
    <row r="98" spans="1:18" x14ac:dyDescent="0.25">
      <c r="A98" s="745">
        <f>'Состав ВТК'!B101</f>
        <v>0</v>
      </c>
      <c r="B98" s="739">
        <f>'Состав ВТК'!L101</f>
        <v>0</v>
      </c>
      <c r="C98" s="739">
        <f>'Состав ВТК'!M101</f>
        <v>0</v>
      </c>
      <c r="D98" s="746" t="b">
        <f t="shared" si="9"/>
        <v>0</v>
      </c>
      <c r="E98" s="746" t="b">
        <f t="shared" si="10"/>
        <v>0</v>
      </c>
      <c r="F98" s="746" t="b">
        <f t="shared" si="11"/>
        <v>0</v>
      </c>
      <c r="G98" s="746" t="b">
        <f t="shared" si="12"/>
        <v>0</v>
      </c>
      <c r="H98" s="741">
        <f>IF(D98=TRUE,IF(E98=FALSE,'Расчет участников НИР'!$H108*(50%/1),IF(AND(E98=TRUE,F98=TRUE,G98=TRUE),'Расчет участников НИР'!$H108*'счеталка премий'!$T$6,IF(AND(E98=TRUE,F98=TRUE),'Расчет участников НИР'!$H108*(50%/3),'Расчет участников НИР'!$H108*(50%/2)))),0)</f>
        <v>0</v>
      </c>
      <c r="I98" s="741">
        <f>IF(E98=TRUE,IF(D98=FALSE,'Расчет участников НИР'!$H108*(10%),IF(F98=FALSE,'Расчет участников НИР'!$H108*(50%/2),IF(AND(F98=TRUE,G98=TRUE),'Расчет участников НИР'!$H108*'счеталка премий'!$T$6,'Расчет участников НИР'!$H108*(50%/3)))),0)</f>
        <v>0</v>
      </c>
      <c r="J98" s="741">
        <f>IF(F98=TRUE,IF(AND(D98=FALSE,E98=FALSE),'Расчет участников НИР'!$H108*(20%),IF(D98=FALSE,'Расчет участников НИР'!$H108*(10%),IF(G98=FALSE,'Расчет участников НИР'!$H108*(50%/3),'Расчет участников НИР'!$H108*'счеталка премий'!$T$6))),0)</f>
        <v>0</v>
      </c>
      <c r="K98" s="741">
        <f>IF(G98=TRUE,IF(AND(D98=FALSE,E98=FALSE,F98=FALSE),'Расчет участников НИР'!$H108*(50%),'Расчет участников НИР'!$H108*'счеталка премий'!$T$7),0)</f>
        <v>0</v>
      </c>
      <c r="L98" s="741">
        <f t="shared" si="13"/>
        <v>0</v>
      </c>
      <c r="M98" s="741">
        <f>'Расчет участников НИР'!H108</f>
        <v>0</v>
      </c>
      <c r="O98" s="747" t="e">
        <f t="shared" ref="O98:R161" si="15">H98/$M98</f>
        <v>#DIV/0!</v>
      </c>
      <c r="P98" s="747" t="e">
        <f t="shared" si="15"/>
        <v>#DIV/0!</v>
      </c>
      <c r="Q98" s="747" t="e">
        <f t="shared" si="15"/>
        <v>#DIV/0!</v>
      </c>
      <c r="R98" s="747" t="e">
        <f t="shared" si="14"/>
        <v>#DIV/0!</v>
      </c>
    </row>
    <row r="99" spans="1:18" x14ac:dyDescent="0.25">
      <c r="A99" s="745">
        <f>'Состав ВТК'!B102</f>
        <v>0</v>
      </c>
      <c r="B99" s="739">
        <f>'Состав ВТК'!L102</f>
        <v>0</v>
      </c>
      <c r="C99" s="739">
        <f>'Состав ВТК'!M102</f>
        <v>0</v>
      </c>
      <c r="D99" s="746" t="b">
        <f t="shared" si="9"/>
        <v>0</v>
      </c>
      <c r="E99" s="746" t="b">
        <f t="shared" si="10"/>
        <v>0</v>
      </c>
      <c r="F99" s="746" t="b">
        <f t="shared" si="11"/>
        <v>0</v>
      </c>
      <c r="G99" s="746" t="b">
        <f t="shared" si="12"/>
        <v>0</v>
      </c>
      <c r="H99" s="741">
        <f>IF(D99=TRUE,IF(E99=FALSE,'Расчет участников НИР'!$H109*(50%/1),IF(AND(E99=TRUE,F99=TRUE,G99=TRUE),'Расчет участников НИР'!$H109*'счеталка премий'!$T$6,IF(AND(E99=TRUE,F99=TRUE),'Расчет участников НИР'!$H109*(50%/3),'Расчет участников НИР'!$H109*(50%/2)))),0)</f>
        <v>0</v>
      </c>
      <c r="I99" s="741">
        <f>IF(E99=TRUE,IF(D99=FALSE,'Расчет участников НИР'!$H109*(10%),IF(F99=FALSE,'Расчет участников НИР'!$H109*(50%/2),IF(AND(F99=TRUE,G99=TRUE),'Расчет участников НИР'!$H109*'счеталка премий'!$T$6,'Расчет участников НИР'!$H109*(50%/3)))),0)</f>
        <v>0</v>
      </c>
      <c r="J99" s="741">
        <f>IF(F99=TRUE,IF(AND(D99=FALSE,E99=FALSE),'Расчет участников НИР'!$H109*(20%),IF(D99=FALSE,'Расчет участников НИР'!$H109*(10%),IF(G99=FALSE,'Расчет участников НИР'!$H109*(50%/3),'Расчет участников НИР'!$H109*'счеталка премий'!$T$6))),0)</f>
        <v>0</v>
      </c>
      <c r="K99" s="741">
        <f>IF(G99=TRUE,IF(AND(D99=FALSE,E99=FALSE,F99=FALSE),'Расчет участников НИР'!$H109*(50%),'Расчет участников НИР'!$H109*'счеталка премий'!$T$7),0)</f>
        <v>0</v>
      </c>
      <c r="L99" s="741">
        <f t="shared" si="13"/>
        <v>0</v>
      </c>
      <c r="M99" s="741">
        <f>'Расчет участников НИР'!H109</f>
        <v>0</v>
      </c>
      <c r="O99" s="747" t="e">
        <f t="shared" si="15"/>
        <v>#DIV/0!</v>
      </c>
      <c r="P99" s="747" t="e">
        <f t="shared" si="15"/>
        <v>#DIV/0!</v>
      </c>
      <c r="Q99" s="747" t="e">
        <f t="shared" si="15"/>
        <v>#DIV/0!</v>
      </c>
      <c r="R99" s="747" t="e">
        <f t="shared" si="14"/>
        <v>#DIV/0!</v>
      </c>
    </row>
    <row r="100" spans="1:18" x14ac:dyDescent="0.25">
      <c r="A100" s="745">
        <f>'Состав ВТК'!B103</f>
        <v>0</v>
      </c>
      <c r="B100" s="739">
        <f>'Состав ВТК'!L103</f>
        <v>0</v>
      </c>
      <c r="C100" s="739">
        <f>'Состав ВТК'!M103</f>
        <v>0</v>
      </c>
      <c r="D100" s="746" t="b">
        <f t="shared" si="9"/>
        <v>0</v>
      </c>
      <c r="E100" s="746" t="b">
        <f t="shared" si="10"/>
        <v>0</v>
      </c>
      <c r="F100" s="746" t="b">
        <f t="shared" si="11"/>
        <v>0</v>
      </c>
      <c r="G100" s="746" t="b">
        <f t="shared" si="12"/>
        <v>0</v>
      </c>
      <c r="H100" s="741">
        <f>IF(D100=TRUE,IF(E100=FALSE,'Расчет участников НИР'!$H110*(50%/1),IF(AND(E100=TRUE,F100=TRUE,G100=TRUE),'Расчет участников НИР'!$H110*'счеталка премий'!$T$6,IF(AND(E100=TRUE,F100=TRUE),'Расчет участников НИР'!$H110*(50%/3),'Расчет участников НИР'!$H110*(50%/2)))),0)</f>
        <v>0</v>
      </c>
      <c r="I100" s="741">
        <f>IF(E100=TRUE,IF(D100=FALSE,'Расчет участников НИР'!$H110*(10%),IF(F100=FALSE,'Расчет участников НИР'!$H110*(50%/2),IF(AND(F100=TRUE,G100=TRUE),'Расчет участников НИР'!$H110*'счеталка премий'!$T$6,'Расчет участников НИР'!$H110*(50%/3)))),0)</f>
        <v>0</v>
      </c>
      <c r="J100" s="741">
        <f>IF(F100=TRUE,IF(AND(D100=FALSE,E100=FALSE),'Расчет участников НИР'!$H110*(20%),IF(D100=FALSE,'Расчет участников НИР'!$H110*(10%),IF(G100=FALSE,'Расчет участников НИР'!$H110*(50%/3),'Расчет участников НИР'!$H110*'счеталка премий'!$T$6))),0)</f>
        <v>0</v>
      </c>
      <c r="K100" s="741">
        <f>IF(G100=TRUE,IF(AND(D100=FALSE,E100=FALSE,F100=FALSE),'Расчет участников НИР'!$H110*(50%),'Расчет участников НИР'!$H110*'счеталка премий'!$T$7),0)</f>
        <v>0</v>
      </c>
      <c r="L100" s="741">
        <f t="shared" si="13"/>
        <v>0</v>
      </c>
      <c r="M100" s="741">
        <f>'Расчет участников НИР'!H110</f>
        <v>0</v>
      </c>
      <c r="O100" s="747" t="e">
        <f t="shared" si="15"/>
        <v>#DIV/0!</v>
      </c>
      <c r="P100" s="747" t="e">
        <f t="shared" si="15"/>
        <v>#DIV/0!</v>
      </c>
      <c r="Q100" s="747" t="e">
        <f t="shared" si="15"/>
        <v>#DIV/0!</v>
      </c>
      <c r="R100" s="747" t="e">
        <f t="shared" si="14"/>
        <v>#DIV/0!</v>
      </c>
    </row>
    <row r="101" spans="1:18" x14ac:dyDescent="0.25">
      <c r="A101" s="745">
        <f>'Состав ВТК'!B104</f>
        <v>0</v>
      </c>
      <c r="B101" s="739">
        <f>'Состав ВТК'!L104</f>
        <v>0</v>
      </c>
      <c r="C101" s="739">
        <f>'Состав ВТК'!M104</f>
        <v>0</v>
      </c>
      <c r="D101" s="746" t="b">
        <f t="shared" si="9"/>
        <v>0</v>
      </c>
      <c r="E101" s="746" t="b">
        <f t="shared" si="10"/>
        <v>0</v>
      </c>
      <c r="F101" s="746" t="b">
        <f t="shared" si="11"/>
        <v>0</v>
      </c>
      <c r="G101" s="746" t="b">
        <f t="shared" si="12"/>
        <v>0</v>
      </c>
      <c r="H101" s="741">
        <f>IF(D101=TRUE,IF(E101=FALSE,'Расчет участников НИР'!$H111*(50%/1),IF(AND(E101=TRUE,F101=TRUE,G101=TRUE),'Расчет участников НИР'!$H111*'счеталка премий'!$T$6,IF(AND(E101=TRUE,F101=TRUE),'Расчет участников НИР'!$H111*(50%/3),'Расчет участников НИР'!$H111*(50%/2)))),0)</f>
        <v>0</v>
      </c>
      <c r="I101" s="741">
        <f>IF(E101=TRUE,IF(D101=FALSE,'Расчет участников НИР'!$H111*(10%),IF(F101=FALSE,'Расчет участников НИР'!$H111*(50%/2),IF(AND(F101=TRUE,G101=TRUE),'Расчет участников НИР'!$H111*'счеталка премий'!$T$6,'Расчет участников НИР'!$H111*(50%/3)))),0)</f>
        <v>0</v>
      </c>
      <c r="J101" s="741">
        <f>IF(F101=TRUE,IF(AND(D101=FALSE,E101=FALSE),'Расчет участников НИР'!$H111*(20%),IF(D101=FALSE,'Расчет участников НИР'!$H111*(10%),IF(G101=FALSE,'Расчет участников НИР'!$H111*(50%/3),'Расчет участников НИР'!$H111*'счеталка премий'!$T$6))),0)</f>
        <v>0</v>
      </c>
      <c r="K101" s="741">
        <f>IF(G101=TRUE,IF(AND(D101=FALSE,E101=FALSE,F101=FALSE),'Расчет участников НИР'!$H111*(50%),'Расчет участников НИР'!$H111*'счеталка премий'!$T$7),0)</f>
        <v>0</v>
      </c>
      <c r="L101" s="741">
        <f t="shared" si="13"/>
        <v>0</v>
      </c>
      <c r="M101" s="741">
        <f>'Расчет участников НИР'!H111</f>
        <v>0</v>
      </c>
      <c r="O101" s="747" t="e">
        <f t="shared" si="15"/>
        <v>#DIV/0!</v>
      </c>
      <c r="P101" s="747" t="e">
        <f t="shared" si="15"/>
        <v>#DIV/0!</v>
      </c>
      <c r="Q101" s="747" t="e">
        <f t="shared" si="15"/>
        <v>#DIV/0!</v>
      </c>
      <c r="R101" s="747" t="e">
        <f t="shared" si="14"/>
        <v>#DIV/0!</v>
      </c>
    </row>
    <row r="102" spans="1:18" x14ac:dyDescent="0.25">
      <c r="A102" s="745">
        <f>'Состав ВТК'!B105</f>
        <v>0</v>
      </c>
      <c r="B102" s="739">
        <f>'Состав ВТК'!L105</f>
        <v>0</v>
      </c>
      <c r="C102" s="739">
        <f>'Состав ВТК'!M105</f>
        <v>0</v>
      </c>
      <c r="D102" s="746" t="b">
        <f t="shared" si="9"/>
        <v>0</v>
      </c>
      <c r="E102" s="746" t="b">
        <f t="shared" si="10"/>
        <v>0</v>
      </c>
      <c r="F102" s="746" t="b">
        <f t="shared" si="11"/>
        <v>0</v>
      </c>
      <c r="G102" s="746" t="b">
        <f t="shared" si="12"/>
        <v>0</v>
      </c>
      <c r="H102" s="741">
        <f>IF(D102=TRUE,IF(E102=FALSE,'Расчет участников НИР'!$H112*(50%/1),IF(AND(E102=TRUE,F102=TRUE,G102=TRUE),'Расчет участников НИР'!$H112*'счеталка премий'!$T$6,IF(AND(E102=TRUE,F102=TRUE),'Расчет участников НИР'!$H112*(50%/3),'Расчет участников НИР'!$H112*(50%/2)))),0)</f>
        <v>0</v>
      </c>
      <c r="I102" s="741">
        <f>IF(E102=TRUE,IF(D102=FALSE,'Расчет участников НИР'!$H112*(10%),IF(F102=FALSE,'Расчет участников НИР'!$H112*(50%/2),IF(AND(F102=TRUE,G102=TRUE),'Расчет участников НИР'!$H112*'счеталка премий'!$T$6,'Расчет участников НИР'!$H112*(50%/3)))),0)</f>
        <v>0</v>
      </c>
      <c r="J102" s="741">
        <f>IF(F102=TRUE,IF(AND(D102=FALSE,E102=FALSE),'Расчет участников НИР'!$H112*(20%),IF(D102=FALSE,'Расчет участников НИР'!$H112*(10%),IF(G102=FALSE,'Расчет участников НИР'!$H112*(50%/3),'Расчет участников НИР'!$H112*'счеталка премий'!$T$6))),0)</f>
        <v>0</v>
      </c>
      <c r="K102" s="741">
        <f>IF(G102=TRUE,IF(AND(D102=FALSE,E102=FALSE,F102=FALSE),'Расчет участников НИР'!$H112*(50%),'Расчет участников НИР'!$H112*'счеталка премий'!$T$7),0)</f>
        <v>0</v>
      </c>
      <c r="L102" s="741">
        <f t="shared" si="13"/>
        <v>0</v>
      </c>
      <c r="M102" s="741">
        <f>'Расчет участников НИР'!H112</f>
        <v>0</v>
      </c>
      <c r="O102" s="747" t="e">
        <f t="shared" si="15"/>
        <v>#DIV/0!</v>
      </c>
      <c r="P102" s="747" t="e">
        <f t="shared" si="15"/>
        <v>#DIV/0!</v>
      </c>
      <c r="Q102" s="747" t="e">
        <f t="shared" si="15"/>
        <v>#DIV/0!</v>
      </c>
      <c r="R102" s="747" t="e">
        <f t="shared" si="14"/>
        <v>#DIV/0!</v>
      </c>
    </row>
    <row r="103" spans="1:18" x14ac:dyDescent="0.25">
      <c r="A103" s="745">
        <f>'Состав ВТК'!B106</f>
        <v>0</v>
      </c>
      <c r="B103" s="739">
        <f>'Состав ВТК'!L106</f>
        <v>0</v>
      </c>
      <c r="C103" s="739">
        <f>'Состав ВТК'!M106</f>
        <v>0</v>
      </c>
      <c r="D103" s="746" t="b">
        <f t="shared" si="9"/>
        <v>0</v>
      </c>
      <c r="E103" s="746" t="b">
        <f t="shared" si="10"/>
        <v>0</v>
      </c>
      <c r="F103" s="746" t="b">
        <f t="shared" si="11"/>
        <v>0</v>
      </c>
      <c r="G103" s="746" t="b">
        <f t="shared" si="12"/>
        <v>0</v>
      </c>
      <c r="H103" s="741">
        <f>IF(D103=TRUE,IF(E103=FALSE,'Расчет участников НИР'!$H113*(50%/1),IF(AND(E103=TRUE,F103=TRUE,G103=TRUE),'Расчет участников НИР'!$H113*'счеталка премий'!$T$6,IF(AND(E103=TRUE,F103=TRUE),'Расчет участников НИР'!$H113*(50%/3),'Расчет участников НИР'!$H113*(50%/2)))),0)</f>
        <v>0</v>
      </c>
      <c r="I103" s="741">
        <f>IF(E103=TRUE,IF(D103=FALSE,'Расчет участников НИР'!$H113*(10%),IF(F103=FALSE,'Расчет участников НИР'!$H113*(50%/2),IF(AND(F103=TRUE,G103=TRUE),'Расчет участников НИР'!$H113*'счеталка премий'!$T$6,'Расчет участников НИР'!$H113*(50%/3)))),0)</f>
        <v>0</v>
      </c>
      <c r="J103" s="741">
        <f>IF(F103=TRUE,IF(AND(D103=FALSE,E103=FALSE),'Расчет участников НИР'!$H113*(20%),IF(D103=FALSE,'Расчет участников НИР'!$H113*(10%),IF(G103=FALSE,'Расчет участников НИР'!$H113*(50%/3),'Расчет участников НИР'!$H113*'счеталка премий'!$T$6))),0)</f>
        <v>0</v>
      </c>
      <c r="K103" s="741">
        <f>IF(G103=TRUE,IF(AND(D103=FALSE,E103=FALSE,F103=FALSE),'Расчет участников НИР'!$H113*(50%),'Расчет участников НИР'!$H113*'счеталка премий'!$T$7),0)</f>
        <v>0</v>
      </c>
      <c r="L103" s="741">
        <f t="shared" si="13"/>
        <v>0</v>
      </c>
      <c r="M103" s="741">
        <f>'Расчет участников НИР'!H113</f>
        <v>0</v>
      </c>
      <c r="O103" s="747" t="e">
        <f t="shared" si="15"/>
        <v>#DIV/0!</v>
      </c>
      <c r="P103" s="747" t="e">
        <f t="shared" si="15"/>
        <v>#DIV/0!</v>
      </c>
      <c r="Q103" s="747" t="e">
        <f t="shared" si="15"/>
        <v>#DIV/0!</v>
      </c>
      <c r="R103" s="747" t="e">
        <f t="shared" si="14"/>
        <v>#DIV/0!</v>
      </c>
    </row>
    <row r="104" spans="1:18" x14ac:dyDescent="0.25">
      <c r="A104" s="745">
        <f>'Состав ВТК'!B107</f>
        <v>0</v>
      </c>
      <c r="B104" s="739">
        <f>'Состав ВТК'!L107</f>
        <v>0</v>
      </c>
      <c r="C104" s="739">
        <f>'Состав ВТК'!M107</f>
        <v>0</v>
      </c>
      <c r="D104" s="746" t="b">
        <f t="shared" si="9"/>
        <v>0</v>
      </c>
      <c r="E104" s="746" t="b">
        <f t="shared" si="10"/>
        <v>0</v>
      </c>
      <c r="F104" s="746" t="b">
        <f t="shared" si="11"/>
        <v>0</v>
      </c>
      <c r="G104" s="746" t="b">
        <f t="shared" si="12"/>
        <v>0</v>
      </c>
      <c r="H104" s="741">
        <f>IF(D104=TRUE,IF(E104=FALSE,'Расчет участников НИР'!$H114*(50%/1),IF(AND(E104=TRUE,F104=TRUE,G104=TRUE),'Расчет участников НИР'!$H114*'счеталка премий'!$T$6,IF(AND(E104=TRUE,F104=TRUE),'Расчет участников НИР'!$H114*(50%/3),'Расчет участников НИР'!$H114*(50%/2)))),0)</f>
        <v>0</v>
      </c>
      <c r="I104" s="741">
        <f>IF(E104=TRUE,IF(D104=FALSE,'Расчет участников НИР'!$H114*(10%),IF(F104=FALSE,'Расчет участников НИР'!$H114*(50%/2),IF(AND(F104=TRUE,G104=TRUE),'Расчет участников НИР'!$H114*'счеталка премий'!$T$6,'Расчет участников НИР'!$H114*(50%/3)))),0)</f>
        <v>0</v>
      </c>
      <c r="J104" s="741">
        <f>IF(F104=TRUE,IF(AND(D104=FALSE,E104=FALSE),'Расчет участников НИР'!$H114*(20%),IF(D104=FALSE,'Расчет участников НИР'!$H114*(10%),IF(G104=FALSE,'Расчет участников НИР'!$H114*(50%/3),'Расчет участников НИР'!$H114*'счеталка премий'!$T$6))),0)</f>
        <v>0</v>
      </c>
      <c r="K104" s="741">
        <f>IF(G104=TRUE,IF(AND(D104=FALSE,E104=FALSE,F104=FALSE),'Расчет участников НИР'!$H114*(50%),'Расчет участников НИР'!$H114*'счеталка премий'!$T$7),0)</f>
        <v>0</v>
      </c>
      <c r="L104" s="741">
        <f t="shared" si="13"/>
        <v>0</v>
      </c>
      <c r="M104" s="741">
        <f>'Расчет участников НИР'!H114</f>
        <v>0</v>
      </c>
      <c r="O104" s="747" t="e">
        <f t="shared" si="15"/>
        <v>#DIV/0!</v>
      </c>
      <c r="P104" s="747" t="e">
        <f t="shared" si="15"/>
        <v>#DIV/0!</v>
      </c>
      <c r="Q104" s="747" t="e">
        <f t="shared" si="15"/>
        <v>#DIV/0!</v>
      </c>
      <c r="R104" s="747" t="e">
        <f t="shared" si="14"/>
        <v>#DIV/0!</v>
      </c>
    </row>
    <row r="105" spans="1:18" x14ac:dyDescent="0.25">
      <c r="A105" s="745">
        <f>'Состав ВТК'!B108</f>
        <v>0</v>
      </c>
      <c r="B105" s="739">
        <f>'Состав ВТК'!L108</f>
        <v>0</v>
      </c>
      <c r="C105" s="739">
        <f>'Состав ВТК'!M108</f>
        <v>0</v>
      </c>
      <c r="D105" s="746" t="b">
        <f t="shared" si="9"/>
        <v>0</v>
      </c>
      <c r="E105" s="746" t="b">
        <f t="shared" si="10"/>
        <v>0</v>
      </c>
      <c r="F105" s="746" t="b">
        <f t="shared" si="11"/>
        <v>0</v>
      </c>
      <c r="G105" s="746" t="b">
        <f t="shared" si="12"/>
        <v>0</v>
      </c>
      <c r="H105" s="741">
        <f>IF(D105=TRUE,IF(E105=FALSE,'Расчет участников НИР'!$H115*(50%/1),IF(AND(E105=TRUE,F105=TRUE,G105=TRUE),'Расчет участников НИР'!$H115*'счеталка премий'!$T$6,IF(AND(E105=TRUE,F105=TRUE),'Расчет участников НИР'!$H115*(50%/3),'Расчет участников НИР'!$H115*(50%/2)))),0)</f>
        <v>0</v>
      </c>
      <c r="I105" s="741">
        <f>IF(E105=TRUE,IF(D105=FALSE,'Расчет участников НИР'!$H115*(10%),IF(F105=FALSE,'Расчет участников НИР'!$H115*(50%/2),IF(AND(F105=TRUE,G105=TRUE),'Расчет участников НИР'!$H115*'счеталка премий'!$T$6,'Расчет участников НИР'!$H115*(50%/3)))),0)</f>
        <v>0</v>
      </c>
      <c r="J105" s="741">
        <f>IF(F105=TRUE,IF(AND(D105=FALSE,E105=FALSE),'Расчет участников НИР'!$H115*(20%),IF(D105=FALSE,'Расчет участников НИР'!$H115*(10%),IF(G105=FALSE,'Расчет участников НИР'!$H115*(50%/3),'Расчет участников НИР'!$H115*'счеталка премий'!$T$6))),0)</f>
        <v>0</v>
      </c>
      <c r="K105" s="741">
        <f>IF(G105=TRUE,IF(AND(D105=FALSE,E105=FALSE,F105=FALSE),'Расчет участников НИР'!$H115*(50%),'Расчет участников НИР'!$H115*'счеталка премий'!$T$7),0)</f>
        <v>0</v>
      </c>
      <c r="L105" s="741">
        <f t="shared" si="13"/>
        <v>0</v>
      </c>
      <c r="M105" s="741">
        <f>'Расчет участников НИР'!H115</f>
        <v>0</v>
      </c>
      <c r="O105" s="747" t="e">
        <f t="shared" si="15"/>
        <v>#DIV/0!</v>
      </c>
      <c r="P105" s="747" t="e">
        <f t="shared" si="15"/>
        <v>#DIV/0!</v>
      </c>
      <c r="Q105" s="747" t="e">
        <f t="shared" si="15"/>
        <v>#DIV/0!</v>
      </c>
      <c r="R105" s="747" t="e">
        <f t="shared" si="14"/>
        <v>#DIV/0!</v>
      </c>
    </row>
    <row r="106" spans="1:18" x14ac:dyDescent="0.25">
      <c r="A106" s="745">
        <f>'Состав ВТК'!B109</f>
        <v>0</v>
      </c>
      <c r="B106" s="739">
        <f>'Состав ВТК'!L109</f>
        <v>0</v>
      </c>
      <c r="C106" s="739">
        <f>'Состав ВТК'!M109</f>
        <v>0</v>
      </c>
      <c r="D106" s="746" t="b">
        <f t="shared" si="9"/>
        <v>0</v>
      </c>
      <c r="E106" s="746" t="b">
        <f t="shared" si="10"/>
        <v>0</v>
      </c>
      <c r="F106" s="746" t="b">
        <f t="shared" si="11"/>
        <v>0</v>
      </c>
      <c r="G106" s="746" t="b">
        <f t="shared" si="12"/>
        <v>0</v>
      </c>
      <c r="H106" s="741">
        <f>IF(D106=TRUE,IF(E106=FALSE,'Расчет участников НИР'!$H116*(50%/1),IF(AND(E106=TRUE,F106=TRUE,G106=TRUE),'Расчет участников НИР'!$H116*'счеталка премий'!$T$6,IF(AND(E106=TRUE,F106=TRUE),'Расчет участников НИР'!$H116*(50%/3),'Расчет участников НИР'!$H116*(50%/2)))),0)</f>
        <v>0</v>
      </c>
      <c r="I106" s="741">
        <f>IF(E106=TRUE,IF(D106=FALSE,'Расчет участников НИР'!$H116*(10%),IF(F106=FALSE,'Расчет участников НИР'!$H116*(50%/2),IF(AND(F106=TRUE,G106=TRUE),'Расчет участников НИР'!$H116*'счеталка премий'!$T$6,'Расчет участников НИР'!$H116*(50%/3)))),0)</f>
        <v>0</v>
      </c>
      <c r="J106" s="741">
        <f>IF(F106=TRUE,IF(AND(D106=FALSE,E106=FALSE),'Расчет участников НИР'!$H116*(20%),IF(D106=FALSE,'Расчет участников НИР'!$H116*(10%),IF(G106=FALSE,'Расчет участников НИР'!$H116*(50%/3),'Расчет участников НИР'!$H116*'счеталка премий'!$T$6))),0)</f>
        <v>0</v>
      </c>
      <c r="K106" s="741">
        <f>IF(G106=TRUE,IF(AND(D106=FALSE,E106=FALSE,F106=FALSE),'Расчет участников НИР'!$H116*(50%),'Расчет участников НИР'!$H116*'счеталка премий'!$T$7),0)</f>
        <v>0</v>
      </c>
      <c r="L106" s="741">
        <f t="shared" si="13"/>
        <v>0</v>
      </c>
      <c r="M106" s="741">
        <f>'Расчет участников НИР'!H116</f>
        <v>0</v>
      </c>
      <c r="O106" s="747" t="e">
        <f t="shared" si="15"/>
        <v>#DIV/0!</v>
      </c>
      <c r="P106" s="747" t="e">
        <f t="shared" si="15"/>
        <v>#DIV/0!</v>
      </c>
      <c r="Q106" s="747" t="e">
        <f t="shared" si="15"/>
        <v>#DIV/0!</v>
      </c>
      <c r="R106" s="747" t="e">
        <f t="shared" si="14"/>
        <v>#DIV/0!</v>
      </c>
    </row>
    <row r="107" spans="1:18" x14ac:dyDescent="0.25">
      <c r="A107" s="745">
        <f>'Состав ВТК'!B110</f>
        <v>0</v>
      </c>
      <c r="B107" s="739">
        <f>'Состав ВТК'!L110</f>
        <v>0</v>
      </c>
      <c r="C107" s="739">
        <f>'Состав ВТК'!M110</f>
        <v>0</v>
      </c>
      <c r="D107" s="746" t="b">
        <f t="shared" si="9"/>
        <v>0</v>
      </c>
      <c r="E107" s="746" t="b">
        <f t="shared" si="10"/>
        <v>0</v>
      </c>
      <c r="F107" s="746" t="b">
        <f t="shared" si="11"/>
        <v>0</v>
      </c>
      <c r="G107" s="746" t="b">
        <f t="shared" si="12"/>
        <v>0</v>
      </c>
      <c r="H107" s="741">
        <f>IF(D107=TRUE,IF(E107=FALSE,'Расчет участников НИР'!$H117*(50%/1),IF(AND(E107=TRUE,F107=TRUE,G107=TRUE),'Расчет участников НИР'!$H117*'счеталка премий'!$T$6,IF(AND(E107=TRUE,F107=TRUE),'Расчет участников НИР'!$H117*(50%/3),'Расчет участников НИР'!$H117*(50%/2)))),0)</f>
        <v>0</v>
      </c>
      <c r="I107" s="741">
        <f>IF(E107=TRUE,IF(D107=FALSE,'Расчет участников НИР'!$H117*(10%),IF(F107=FALSE,'Расчет участников НИР'!$H117*(50%/2),IF(AND(F107=TRUE,G107=TRUE),'Расчет участников НИР'!$H117*'счеталка премий'!$T$6,'Расчет участников НИР'!$H117*(50%/3)))),0)</f>
        <v>0</v>
      </c>
      <c r="J107" s="741">
        <f>IF(F107=TRUE,IF(AND(D107=FALSE,E107=FALSE),'Расчет участников НИР'!$H117*(20%),IF(D107=FALSE,'Расчет участников НИР'!$H117*(10%),IF(G107=FALSE,'Расчет участников НИР'!$H117*(50%/3),'Расчет участников НИР'!$H117*'счеталка премий'!$T$6))),0)</f>
        <v>0</v>
      </c>
      <c r="K107" s="741">
        <f>IF(G107=TRUE,IF(AND(D107=FALSE,E107=FALSE,F107=FALSE),'Расчет участников НИР'!$H117*(50%),'Расчет участников НИР'!$H117*'счеталка премий'!$T$7),0)</f>
        <v>0</v>
      </c>
      <c r="L107" s="741">
        <f t="shared" si="13"/>
        <v>0</v>
      </c>
      <c r="M107" s="741">
        <f>'Расчет участников НИР'!H117</f>
        <v>0</v>
      </c>
      <c r="O107" s="747" t="e">
        <f t="shared" si="15"/>
        <v>#DIV/0!</v>
      </c>
      <c r="P107" s="747" t="e">
        <f t="shared" si="15"/>
        <v>#DIV/0!</v>
      </c>
      <c r="Q107" s="747" t="e">
        <f t="shared" si="15"/>
        <v>#DIV/0!</v>
      </c>
      <c r="R107" s="747" t="e">
        <f t="shared" si="14"/>
        <v>#DIV/0!</v>
      </c>
    </row>
    <row r="108" spans="1:18" x14ac:dyDescent="0.25">
      <c r="A108" s="745">
        <f>'Состав ВТК'!B111</f>
        <v>0</v>
      </c>
      <c r="B108" s="739">
        <f>'Состав ВТК'!L111</f>
        <v>0</v>
      </c>
      <c r="C108" s="739">
        <f>'Состав ВТК'!M111</f>
        <v>0</v>
      </c>
      <c r="D108" s="746" t="b">
        <f t="shared" si="9"/>
        <v>0</v>
      </c>
      <c r="E108" s="746" t="b">
        <f t="shared" si="10"/>
        <v>0</v>
      </c>
      <c r="F108" s="746" t="b">
        <f t="shared" si="11"/>
        <v>0</v>
      </c>
      <c r="G108" s="746" t="b">
        <f t="shared" si="12"/>
        <v>0</v>
      </c>
      <c r="H108" s="741">
        <f>IF(D108=TRUE,IF(E108=FALSE,'Расчет участников НИР'!$H118*(50%/1),IF(AND(E108=TRUE,F108=TRUE,G108=TRUE),'Расчет участников НИР'!$H118*'счеталка премий'!$T$6,IF(AND(E108=TRUE,F108=TRUE),'Расчет участников НИР'!$H118*(50%/3),'Расчет участников НИР'!$H118*(50%/2)))),0)</f>
        <v>0</v>
      </c>
      <c r="I108" s="741">
        <f>IF(E108=TRUE,IF(D108=FALSE,'Расчет участников НИР'!$H118*(10%),IF(F108=FALSE,'Расчет участников НИР'!$H118*(50%/2),IF(AND(F108=TRUE,G108=TRUE),'Расчет участников НИР'!$H118*'счеталка премий'!$T$6,'Расчет участников НИР'!$H118*(50%/3)))),0)</f>
        <v>0</v>
      </c>
      <c r="J108" s="741">
        <f>IF(F108=TRUE,IF(AND(D108=FALSE,E108=FALSE),'Расчет участников НИР'!$H118*(20%),IF(D108=FALSE,'Расчет участников НИР'!$H118*(10%),IF(G108=FALSE,'Расчет участников НИР'!$H118*(50%/3),'Расчет участников НИР'!$H118*'счеталка премий'!$T$6))),0)</f>
        <v>0</v>
      </c>
      <c r="K108" s="741">
        <f>IF(G108=TRUE,IF(AND(D108=FALSE,E108=FALSE,F108=FALSE),'Расчет участников НИР'!$H118*(50%),'Расчет участников НИР'!$H118*'счеталка премий'!$T$7),0)</f>
        <v>0</v>
      </c>
      <c r="L108" s="741">
        <f t="shared" si="13"/>
        <v>0</v>
      </c>
      <c r="M108" s="741">
        <f>'Расчет участников НИР'!H118</f>
        <v>0</v>
      </c>
      <c r="O108" s="747" t="e">
        <f t="shared" si="15"/>
        <v>#DIV/0!</v>
      </c>
      <c r="P108" s="747" t="e">
        <f t="shared" si="15"/>
        <v>#DIV/0!</v>
      </c>
      <c r="Q108" s="747" t="e">
        <f t="shared" si="15"/>
        <v>#DIV/0!</v>
      </c>
      <c r="R108" s="747" t="e">
        <f t="shared" si="14"/>
        <v>#DIV/0!</v>
      </c>
    </row>
    <row r="109" spans="1:18" x14ac:dyDescent="0.25">
      <c r="A109" s="745">
        <f>'Состав ВТК'!B112</f>
        <v>0</v>
      </c>
      <c r="B109" s="739">
        <f>'Состав ВТК'!L112</f>
        <v>0</v>
      </c>
      <c r="C109" s="739">
        <f>'Состав ВТК'!M112</f>
        <v>0</v>
      </c>
      <c r="D109" s="746" t="b">
        <f t="shared" si="9"/>
        <v>0</v>
      </c>
      <c r="E109" s="746" t="b">
        <f t="shared" si="10"/>
        <v>0</v>
      </c>
      <c r="F109" s="746" t="b">
        <f t="shared" si="11"/>
        <v>0</v>
      </c>
      <c r="G109" s="746" t="b">
        <f t="shared" si="12"/>
        <v>0</v>
      </c>
      <c r="H109" s="741">
        <f>IF(D109=TRUE,IF(E109=FALSE,'Расчет участников НИР'!$H119*(50%/1),IF(AND(E109=TRUE,F109=TRUE,G109=TRUE),'Расчет участников НИР'!$H119*'счеталка премий'!$T$6,IF(AND(E109=TRUE,F109=TRUE),'Расчет участников НИР'!$H119*(50%/3),'Расчет участников НИР'!$H119*(50%/2)))),0)</f>
        <v>0</v>
      </c>
      <c r="I109" s="741">
        <f>IF(E109=TRUE,IF(D109=FALSE,'Расчет участников НИР'!$H119*(10%),IF(F109=FALSE,'Расчет участников НИР'!$H119*(50%/2),IF(AND(F109=TRUE,G109=TRUE),'Расчет участников НИР'!$H119*'счеталка премий'!$T$6,'Расчет участников НИР'!$H119*(50%/3)))),0)</f>
        <v>0</v>
      </c>
      <c r="J109" s="741">
        <f>IF(F109=TRUE,IF(AND(D109=FALSE,E109=FALSE),'Расчет участников НИР'!$H119*(20%),IF(D109=FALSE,'Расчет участников НИР'!$H119*(10%),IF(G109=FALSE,'Расчет участников НИР'!$H119*(50%/3),'Расчет участников НИР'!$H119*'счеталка премий'!$T$6))),0)</f>
        <v>0</v>
      </c>
      <c r="K109" s="741">
        <f>IF(G109=TRUE,IF(AND(D109=FALSE,E109=FALSE,F109=FALSE),'Расчет участников НИР'!$H119*(50%),'Расчет участников НИР'!$H119*'счеталка премий'!$T$7),0)</f>
        <v>0</v>
      </c>
      <c r="L109" s="741">
        <f t="shared" si="13"/>
        <v>0</v>
      </c>
      <c r="M109" s="741">
        <f>'Расчет участников НИР'!H119</f>
        <v>0</v>
      </c>
      <c r="O109" s="747" t="e">
        <f t="shared" si="15"/>
        <v>#DIV/0!</v>
      </c>
      <c r="P109" s="747" t="e">
        <f t="shared" si="15"/>
        <v>#DIV/0!</v>
      </c>
      <c r="Q109" s="747" t="e">
        <f t="shared" si="15"/>
        <v>#DIV/0!</v>
      </c>
      <c r="R109" s="747" t="e">
        <f t="shared" si="14"/>
        <v>#DIV/0!</v>
      </c>
    </row>
    <row r="110" spans="1:18" x14ac:dyDescent="0.25">
      <c r="A110" s="745">
        <f>'Состав ВТК'!B113</f>
        <v>0</v>
      </c>
      <c r="B110" s="739">
        <f>'Состав ВТК'!L113</f>
        <v>0</v>
      </c>
      <c r="C110" s="739">
        <f>'Состав ВТК'!M113</f>
        <v>0</v>
      </c>
      <c r="D110" s="746" t="b">
        <f t="shared" si="9"/>
        <v>0</v>
      </c>
      <c r="E110" s="746" t="b">
        <f t="shared" si="10"/>
        <v>0</v>
      </c>
      <c r="F110" s="746" t="b">
        <f t="shared" si="11"/>
        <v>0</v>
      </c>
      <c r="G110" s="746" t="b">
        <f t="shared" si="12"/>
        <v>0</v>
      </c>
      <c r="H110" s="741">
        <f>IF(D110=TRUE,IF(E110=FALSE,'Расчет участников НИР'!$H120*(50%/1),IF(AND(E110=TRUE,F110=TRUE,G110=TRUE),'Расчет участников НИР'!$H120*'счеталка премий'!$T$6,IF(AND(E110=TRUE,F110=TRUE),'Расчет участников НИР'!$H120*(50%/3),'Расчет участников НИР'!$H120*(50%/2)))),0)</f>
        <v>0</v>
      </c>
      <c r="I110" s="741">
        <f>IF(E110=TRUE,IF(D110=FALSE,'Расчет участников НИР'!$H120*(10%),IF(F110=FALSE,'Расчет участников НИР'!$H120*(50%/2),IF(AND(F110=TRUE,G110=TRUE),'Расчет участников НИР'!$H120*'счеталка премий'!$T$6,'Расчет участников НИР'!$H120*(50%/3)))),0)</f>
        <v>0</v>
      </c>
      <c r="J110" s="741">
        <f>IF(F110=TRUE,IF(AND(D110=FALSE,E110=FALSE),'Расчет участников НИР'!$H120*(20%),IF(D110=FALSE,'Расчет участников НИР'!$H120*(10%),IF(G110=FALSE,'Расчет участников НИР'!$H120*(50%/3),'Расчет участников НИР'!$H120*'счеталка премий'!$T$6))),0)</f>
        <v>0</v>
      </c>
      <c r="K110" s="741">
        <f>IF(G110=TRUE,IF(AND(D110=FALSE,E110=FALSE,F110=FALSE),'Расчет участников НИР'!$H120*(50%),'Расчет участников НИР'!$H120*'счеталка премий'!$T$7),0)</f>
        <v>0</v>
      </c>
      <c r="L110" s="741">
        <f t="shared" si="13"/>
        <v>0</v>
      </c>
      <c r="M110" s="741">
        <f>'Расчет участников НИР'!H120</f>
        <v>0</v>
      </c>
      <c r="O110" s="747" t="e">
        <f t="shared" si="15"/>
        <v>#DIV/0!</v>
      </c>
      <c r="P110" s="747" t="e">
        <f t="shared" si="15"/>
        <v>#DIV/0!</v>
      </c>
      <c r="Q110" s="747" t="e">
        <f t="shared" si="15"/>
        <v>#DIV/0!</v>
      </c>
      <c r="R110" s="747" t="e">
        <f t="shared" si="14"/>
        <v>#DIV/0!</v>
      </c>
    </row>
    <row r="111" spans="1:18" x14ac:dyDescent="0.25">
      <c r="A111" s="745">
        <f>'Состав ВТК'!B114</f>
        <v>0</v>
      </c>
      <c r="B111" s="739">
        <f>'Состав ВТК'!L114</f>
        <v>0</v>
      </c>
      <c r="C111" s="739">
        <f>'Состав ВТК'!M114</f>
        <v>0</v>
      </c>
      <c r="D111" s="746" t="b">
        <f t="shared" si="9"/>
        <v>0</v>
      </c>
      <c r="E111" s="746" t="b">
        <f t="shared" si="10"/>
        <v>0</v>
      </c>
      <c r="F111" s="746" t="b">
        <f t="shared" si="11"/>
        <v>0</v>
      </c>
      <c r="G111" s="746" t="b">
        <f t="shared" si="12"/>
        <v>0</v>
      </c>
      <c r="H111" s="741">
        <f>IF(D111=TRUE,IF(E111=FALSE,'Расчет участников НИР'!$H121*(50%/1),IF(AND(E111=TRUE,F111=TRUE,G111=TRUE),'Расчет участников НИР'!$H121*'счеталка премий'!$T$6,IF(AND(E111=TRUE,F111=TRUE),'Расчет участников НИР'!$H121*(50%/3),'Расчет участников НИР'!$H121*(50%/2)))),0)</f>
        <v>0</v>
      </c>
      <c r="I111" s="741">
        <f>IF(E111=TRUE,IF(D111=FALSE,'Расчет участников НИР'!$H121*(10%),IF(F111=FALSE,'Расчет участников НИР'!$H121*(50%/2),IF(AND(F111=TRUE,G111=TRUE),'Расчет участников НИР'!$H121*'счеталка премий'!$T$6,'Расчет участников НИР'!$H121*(50%/3)))),0)</f>
        <v>0</v>
      </c>
      <c r="J111" s="741">
        <f>IF(F111=TRUE,IF(AND(D111=FALSE,E111=FALSE),'Расчет участников НИР'!$H121*(20%),IF(D111=FALSE,'Расчет участников НИР'!$H121*(10%),IF(G111=FALSE,'Расчет участников НИР'!$H121*(50%/3),'Расчет участников НИР'!$H121*'счеталка премий'!$T$6))),0)</f>
        <v>0</v>
      </c>
      <c r="K111" s="741">
        <f>IF(G111=TRUE,IF(AND(D111=FALSE,E111=FALSE,F111=FALSE),'Расчет участников НИР'!$H121*(50%),'Расчет участников НИР'!$H121*'счеталка премий'!$T$7),0)</f>
        <v>0</v>
      </c>
      <c r="L111" s="741">
        <f t="shared" si="13"/>
        <v>0</v>
      </c>
      <c r="M111" s="741">
        <f>'Расчет участников НИР'!H121</f>
        <v>0</v>
      </c>
      <c r="O111" s="747" t="e">
        <f t="shared" si="15"/>
        <v>#DIV/0!</v>
      </c>
      <c r="P111" s="747" t="e">
        <f t="shared" si="15"/>
        <v>#DIV/0!</v>
      </c>
      <c r="Q111" s="747" t="e">
        <f t="shared" si="15"/>
        <v>#DIV/0!</v>
      </c>
      <c r="R111" s="747" t="e">
        <f t="shared" si="14"/>
        <v>#DIV/0!</v>
      </c>
    </row>
    <row r="112" spans="1:18" x14ac:dyDescent="0.25">
      <c r="A112" s="745">
        <f>'Состав ВТК'!B115</f>
        <v>0</v>
      </c>
      <c r="B112" s="739">
        <f>'Состав ВТК'!L115</f>
        <v>0</v>
      </c>
      <c r="C112" s="739">
        <f>'Состав ВТК'!M115</f>
        <v>0</v>
      </c>
      <c r="D112" s="746" t="b">
        <f t="shared" si="9"/>
        <v>0</v>
      </c>
      <c r="E112" s="746" t="b">
        <f t="shared" si="10"/>
        <v>0</v>
      </c>
      <c r="F112" s="746" t="b">
        <f t="shared" si="11"/>
        <v>0</v>
      </c>
      <c r="G112" s="746" t="b">
        <f t="shared" si="12"/>
        <v>0</v>
      </c>
      <c r="H112" s="741">
        <f>IF(D112=TRUE,IF(E112=FALSE,'Расчет участников НИР'!$H122*(50%/1),IF(AND(E112=TRUE,F112=TRUE,G112=TRUE),'Расчет участников НИР'!$H122*'счеталка премий'!$T$6,IF(AND(E112=TRUE,F112=TRUE),'Расчет участников НИР'!$H122*(50%/3),'Расчет участников НИР'!$H122*(50%/2)))),0)</f>
        <v>0</v>
      </c>
      <c r="I112" s="741">
        <f>IF(E112=TRUE,IF(D112=FALSE,'Расчет участников НИР'!$H122*(10%),IF(F112=FALSE,'Расчет участников НИР'!$H122*(50%/2),IF(AND(F112=TRUE,G112=TRUE),'Расчет участников НИР'!$H122*'счеталка премий'!$T$6,'Расчет участников НИР'!$H122*(50%/3)))),0)</f>
        <v>0</v>
      </c>
      <c r="J112" s="741">
        <f>IF(F112=TRUE,IF(AND(D112=FALSE,E112=FALSE),'Расчет участников НИР'!$H122*(20%),IF(D112=FALSE,'Расчет участников НИР'!$H122*(10%),IF(G112=FALSE,'Расчет участников НИР'!$H122*(50%/3),'Расчет участников НИР'!$H122*'счеталка премий'!$T$6))),0)</f>
        <v>0</v>
      </c>
      <c r="K112" s="741">
        <f>IF(G112=TRUE,IF(AND(D112=FALSE,E112=FALSE,F112=FALSE),'Расчет участников НИР'!$H122*(50%),'Расчет участников НИР'!$H122*'счеталка премий'!$T$7),0)</f>
        <v>0</v>
      </c>
      <c r="L112" s="741">
        <f t="shared" si="13"/>
        <v>0</v>
      </c>
      <c r="M112" s="741">
        <f>'Расчет участников НИР'!H122</f>
        <v>0</v>
      </c>
      <c r="O112" s="747" t="e">
        <f t="shared" si="15"/>
        <v>#DIV/0!</v>
      </c>
      <c r="P112" s="747" t="e">
        <f t="shared" si="15"/>
        <v>#DIV/0!</v>
      </c>
      <c r="Q112" s="747" t="e">
        <f t="shared" si="15"/>
        <v>#DIV/0!</v>
      </c>
      <c r="R112" s="747" t="e">
        <f t="shared" si="14"/>
        <v>#DIV/0!</v>
      </c>
    </row>
    <row r="113" spans="1:18" x14ac:dyDescent="0.25">
      <c r="A113" s="745">
        <f>'Состав ВТК'!B116</f>
        <v>0</v>
      </c>
      <c r="B113" s="739">
        <f>'Состав ВТК'!L116</f>
        <v>0</v>
      </c>
      <c r="C113" s="739">
        <f>'Состав ВТК'!M116</f>
        <v>0</v>
      </c>
      <c r="D113" s="746" t="b">
        <f t="shared" si="9"/>
        <v>0</v>
      </c>
      <c r="E113" s="746" t="b">
        <f t="shared" si="10"/>
        <v>0</v>
      </c>
      <c r="F113" s="746" t="b">
        <f t="shared" si="11"/>
        <v>0</v>
      </c>
      <c r="G113" s="746" t="b">
        <f t="shared" si="12"/>
        <v>0</v>
      </c>
      <c r="H113" s="741">
        <f>IF(D113=TRUE,IF(E113=FALSE,'Расчет участников НИР'!$H123*(50%/1),IF(AND(E113=TRUE,F113=TRUE,G113=TRUE),'Расчет участников НИР'!$H123*'счеталка премий'!$T$6,IF(AND(E113=TRUE,F113=TRUE),'Расчет участников НИР'!$H123*(50%/3),'Расчет участников НИР'!$H123*(50%/2)))),0)</f>
        <v>0</v>
      </c>
      <c r="I113" s="741">
        <f>IF(E113=TRUE,IF(D113=FALSE,'Расчет участников НИР'!$H123*(10%),IF(F113=FALSE,'Расчет участников НИР'!$H123*(50%/2),IF(AND(F113=TRUE,G113=TRUE),'Расчет участников НИР'!$H123*'счеталка премий'!$T$6,'Расчет участников НИР'!$H123*(50%/3)))),0)</f>
        <v>0</v>
      </c>
      <c r="J113" s="741">
        <f>IF(F113=TRUE,IF(AND(D113=FALSE,E113=FALSE),'Расчет участников НИР'!$H123*(20%),IF(D113=FALSE,'Расчет участников НИР'!$H123*(10%),IF(G113=FALSE,'Расчет участников НИР'!$H123*(50%/3),'Расчет участников НИР'!$H123*'счеталка премий'!$T$6))),0)</f>
        <v>0</v>
      </c>
      <c r="K113" s="741">
        <f>IF(G113=TRUE,IF(AND(D113=FALSE,E113=FALSE,F113=FALSE),'Расчет участников НИР'!$H123*(50%),'Расчет участников НИР'!$H123*'счеталка премий'!$T$7),0)</f>
        <v>0</v>
      </c>
      <c r="L113" s="741">
        <f t="shared" si="13"/>
        <v>0</v>
      </c>
      <c r="M113" s="741">
        <f>'Расчет участников НИР'!H123</f>
        <v>0</v>
      </c>
      <c r="O113" s="747" t="e">
        <f t="shared" si="15"/>
        <v>#DIV/0!</v>
      </c>
      <c r="P113" s="747" t="e">
        <f t="shared" si="15"/>
        <v>#DIV/0!</v>
      </c>
      <c r="Q113" s="747" t="e">
        <f t="shared" si="15"/>
        <v>#DIV/0!</v>
      </c>
      <c r="R113" s="747" t="e">
        <f t="shared" si="14"/>
        <v>#DIV/0!</v>
      </c>
    </row>
    <row r="114" spans="1:18" x14ac:dyDescent="0.25">
      <c r="A114" s="745">
        <f>'Состав ВТК'!B117</f>
        <v>0</v>
      </c>
      <c r="B114" s="739">
        <f>'Состав ВТК'!L117</f>
        <v>0</v>
      </c>
      <c r="C114" s="739">
        <f>'Состав ВТК'!M117</f>
        <v>0</v>
      </c>
      <c r="D114" s="746" t="b">
        <f t="shared" si="9"/>
        <v>0</v>
      </c>
      <c r="E114" s="746" t="b">
        <f t="shared" si="10"/>
        <v>0</v>
      </c>
      <c r="F114" s="746" t="b">
        <f t="shared" si="11"/>
        <v>0</v>
      </c>
      <c r="G114" s="746" t="b">
        <f t="shared" si="12"/>
        <v>0</v>
      </c>
      <c r="H114" s="741">
        <f>IF(D114=TRUE,IF(E114=FALSE,'Расчет участников НИР'!$H124*(50%/1),IF(AND(E114=TRUE,F114=TRUE,G114=TRUE),'Расчет участников НИР'!$H124*'счеталка премий'!$T$6,IF(AND(E114=TRUE,F114=TRUE),'Расчет участников НИР'!$H124*(50%/3),'Расчет участников НИР'!$H124*(50%/2)))),0)</f>
        <v>0</v>
      </c>
      <c r="I114" s="741">
        <f>IF(E114=TRUE,IF(D114=FALSE,'Расчет участников НИР'!$H124*(10%),IF(F114=FALSE,'Расчет участников НИР'!$H124*(50%/2),IF(AND(F114=TRUE,G114=TRUE),'Расчет участников НИР'!$H124*'счеталка премий'!$T$6,'Расчет участников НИР'!$H124*(50%/3)))),0)</f>
        <v>0</v>
      </c>
      <c r="J114" s="741">
        <f>IF(F114=TRUE,IF(AND(D114=FALSE,E114=FALSE),'Расчет участников НИР'!$H124*(20%),IF(D114=FALSE,'Расчет участников НИР'!$H124*(10%),IF(G114=FALSE,'Расчет участников НИР'!$H124*(50%/3),'Расчет участников НИР'!$H124*'счеталка премий'!$T$6))),0)</f>
        <v>0</v>
      </c>
      <c r="K114" s="741">
        <f>IF(G114=TRUE,IF(AND(D114=FALSE,E114=FALSE,F114=FALSE),'Расчет участников НИР'!$H124*(50%),'Расчет участников НИР'!$H124*'счеталка премий'!$T$7),0)</f>
        <v>0</v>
      </c>
      <c r="L114" s="741">
        <f t="shared" si="13"/>
        <v>0</v>
      </c>
      <c r="M114" s="741">
        <f>'Расчет участников НИР'!H124</f>
        <v>0</v>
      </c>
      <c r="O114" s="747" t="e">
        <f t="shared" si="15"/>
        <v>#DIV/0!</v>
      </c>
      <c r="P114" s="747" t="e">
        <f t="shared" si="15"/>
        <v>#DIV/0!</v>
      </c>
      <c r="Q114" s="747" t="e">
        <f t="shared" si="15"/>
        <v>#DIV/0!</v>
      </c>
      <c r="R114" s="747" t="e">
        <f t="shared" si="14"/>
        <v>#DIV/0!</v>
      </c>
    </row>
    <row r="115" spans="1:18" x14ac:dyDescent="0.25">
      <c r="A115" s="745">
        <f>'Состав ВТК'!B118</f>
        <v>0</v>
      </c>
      <c r="B115" s="739">
        <f>'Состав ВТК'!L118</f>
        <v>0</v>
      </c>
      <c r="C115" s="739">
        <f>'Состав ВТК'!M118</f>
        <v>0</v>
      </c>
      <c r="D115" s="746" t="b">
        <f t="shared" si="9"/>
        <v>0</v>
      </c>
      <c r="E115" s="746" t="b">
        <f t="shared" si="10"/>
        <v>0</v>
      </c>
      <c r="F115" s="746" t="b">
        <f t="shared" si="11"/>
        <v>0</v>
      </c>
      <c r="G115" s="746" t="b">
        <f t="shared" si="12"/>
        <v>0</v>
      </c>
      <c r="H115" s="741">
        <f>IF(D115=TRUE,IF(E115=FALSE,'Расчет участников НИР'!$H125*(50%/1),IF(AND(E115=TRUE,F115=TRUE,G115=TRUE),'Расчет участников НИР'!$H125*'счеталка премий'!$T$6,IF(AND(E115=TRUE,F115=TRUE),'Расчет участников НИР'!$H125*(50%/3),'Расчет участников НИР'!$H125*(50%/2)))),0)</f>
        <v>0</v>
      </c>
      <c r="I115" s="741">
        <f>IF(E115=TRUE,IF(D115=FALSE,'Расчет участников НИР'!$H125*(10%),IF(F115=FALSE,'Расчет участников НИР'!$H125*(50%/2),IF(AND(F115=TRUE,G115=TRUE),'Расчет участников НИР'!$H125*'счеталка премий'!$T$6,'Расчет участников НИР'!$H125*(50%/3)))),0)</f>
        <v>0</v>
      </c>
      <c r="J115" s="741">
        <f>IF(F115=TRUE,IF(AND(D115=FALSE,E115=FALSE),'Расчет участников НИР'!$H125*(20%),IF(D115=FALSE,'Расчет участников НИР'!$H125*(10%),IF(G115=FALSE,'Расчет участников НИР'!$H125*(50%/3),'Расчет участников НИР'!$H125*'счеталка премий'!$T$6))),0)</f>
        <v>0</v>
      </c>
      <c r="K115" s="741">
        <f>IF(G115=TRUE,IF(AND(D115=FALSE,E115=FALSE,F115=FALSE),'Расчет участников НИР'!$H125*(50%),'Расчет участников НИР'!$H125*'счеталка премий'!$T$7),0)</f>
        <v>0</v>
      </c>
      <c r="L115" s="741">
        <f t="shared" si="13"/>
        <v>0</v>
      </c>
      <c r="M115" s="741">
        <f>'Расчет участников НИР'!H125</f>
        <v>0</v>
      </c>
      <c r="O115" s="747" t="e">
        <f t="shared" si="15"/>
        <v>#DIV/0!</v>
      </c>
      <c r="P115" s="747" t="e">
        <f t="shared" si="15"/>
        <v>#DIV/0!</v>
      </c>
      <c r="Q115" s="747" t="e">
        <f t="shared" si="15"/>
        <v>#DIV/0!</v>
      </c>
      <c r="R115" s="747" t="e">
        <f t="shared" si="14"/>
        <v>#DIV/0!</v>
      </c>
    </row>
    <row r="116" spans="1:18" x14ac:dyDescent="0.25">
      <c r="A116" s="745">
        <f>'Состав ВТК'!B119</f>
        <v>0</v>
      </c>
      <c r="B116" s="739">
        <f>'Состав ВТК'!L119</f>
        <v>0</v>
      </c>
      <c r="C116" s="739">
        <f>'Состав ВТК'!M119</f>
        <v>0</v>
      </c>
      <c r="D116" s="746" t="b">
        <f t="shared" si="9"/>
        <v>0</v>
      </c>
      <c r="E116" s="746" t="b">
        <f t="shared" si="10"/>
        <v>0</v>
      </c>
      <c r="F116" s="746" t="b">
        <f t="shared" si="11"/>
        <v>0</v>
      </c>
      <c r="G116" s="746" t="b">
        <f t="shared" si="12"/>
        <v>0</v>
      </c>
      <c r="H116" s="741">
        <f>IF(D116=TRUE,IF(E116=FALSE,'Расчет участников НИР'!$H126*(50%/1),IF(AND(E116=TRUE,F116=TRUE,G116=TRUE),'Расчет участников НИР'!$H126*'счеталка премий'!$T$6,IF(AND(E116=TRUE,F116=TRUE),'Расчет участников НИР'!$H126*(50%/3),'Расчет участников НИР'!$H126*(50%/2)))),0)</f>
        <v>0</v>
      </c>
      <c r="I116" s="741">
        <f>IF(E116=TRUE,IF(D116=FALSE,'Расчет участников НИР'!$H126*(10%),IF(F116=FALSE,'Расчет участников НИР'!$H126*(50%/2),IF(AND(F116=TRUE,G116=TRUE),'Расчет участников НИР'!$H126*'счеталка премий'!$T$6,'Расчет участников НИР'!$H126*(50%/3)))),0)</f>
        <v>0</v>
      </c>
      <c r="J116" s="741">
        <f>IF(F116=TRUE,IF(AND(D116=FALSE,E116=FALSE),'Расчет участников НИР'!$H126*(20%),IF(D116=FALSE,'Расчет участников НИР'!$H126*(10%),IF(G116=FALSE,'Расчет участников НИР'!$H126*(50%/3),'Расчет участников НИР'!$H126*'счеталка премий'!$T$6))),0)</f>
        <v>0</v>
      </c>
      <c r="K116" s="741">
        <f>IF(G116=TRUE,IF(AND(D116=FALSE,E116=FALSE,F116=FALSE),'Расчет участников НИР'!$H126*(50%),'Расчет участников НИР'!$H126*'счеталка премий'!$T$7),0)</f>
        <v>0</v>
      </c>
      <c r="L116" s="741">
        <f t="shared" si="13"/>
        <v>0</v>
      </c>
      <c r="M116" s="741">
        <f>'Расчет участников НИР'!H126</f>
        <v>0</v>
      </c>
      <c r="O116" s="747" t="e">
        <f t="shared" si="15"/>
        <v>#DIV/0!</v>
      </c>
      <c r="P116" s="747" t="e">
        <f t="shared" si="15"/>
        <v>#DIV/0!</v>
      </c>
      <c r="Q116" s="747" t="e">
        <f t="shared" si="15"/>
        <v>#DIV/0!</v>
      </c>
      <c r="R116" s="747" t="e">
        <f t="shared" si="14"/>
        <v>#DIV/0!</v>
      </c>
    </row>
    <row r="117" spans="1:18" x14ac:dyDescent="0.25">
      <c r="A117" s="745">
        <f>'Состав ВТК'!B120</f>
        <v>0</v>
      </c>
      <c r="B117" s="739">
        <f>'Состав ВТК'!L120</f>
        <v>0</v>
      </c>
      <c r="C117" s="739">
        <f>'Состав ВТК'!M120</f>
        <v>0</v>
      </c>
      <c r="D117" s="746" t="b">
        <f t="shared" si="9"/>
        <v>0</v>
      </c>
      <c r="E117" s="746" t="b">
        <f t="shared" si="10"/>
        <v>0</v>
      </c>
      <c r="F117" s="746" t="b">
        <f t="shared" si="11"/>
        <v>0</v>
      </c>
      <c r="G117" s="746" t="b">
        <f t="shared" si="12"/>
        <v>0</v>
      </c>
      <c r="H117" s="741">
        <f>IF(D117=TRUE,IF(E117=FALSE,'Расчет участников НИР'!$H127*(50%/1),IF(AND(E117=TRUE,F117=TRUE,G117=TRUE),'Расчет участников НИР'!$H127*'счеталка премий'!$T$6,IF(AND(E117=TRUE,F117=TRUE),'Расчет участников НИР'!$H127*(50%/3),'Расчет участников НИР'!$H127*(50%/2)))),0)</f>
        <v>0</v>
      </c>
      <c r="I117" s="741">
        <f>IF(E117=TRUE,IF(D117=FALSE,'Расчет участников НИР'!$H127*(10%),IF(F117=FALSE,'Расчет участников НИР'!$H127*(50%/2),IF(AND(F117=TRUE,G117=TRUE),'Расчет участников НИР'!$H127*'счеталка премий'!$T$6,'Расчет участников НИР'!$H127*(50%/3)))),0)</f>
        <v>0</v>
      </c>
      <c r="J117" s="741">
        <f>IF(F117=TRUE,IF(AND(D117=FALSE,E117=FALSE),'Расчет участников НИР'!$H127*(20%),IF(D117=FALSE,'Расчет участников НИР'!$H127*(10%),IF(G117=FALSE,'Расчет участников НИР'!$H127*(50%/3),'Расчет участников НИР'!$H127*'счеталка премий'!$T$6))),0)</f>
        <v>0</v>
      </c>
      <c r="K117" s="741">
        <f>IF(G117=TRUE,IF(AND(D117=FALSE,E117=FALSE,F117=FALSE),'Расчет участников НИР'!$H127*(50%),'Расчет участников НИР'!$H127*'счеталка премий'!$T$7),0)</f>
        <v>0</v>
      </c>
      <c r="L117" s="741">
        <f t="shared" si="13"/>
        <v>0</v>
      </c>
      <c r="M117" s="741">
        <f>'Расчет участников НИР'!H127</f>
        <v>0</v>
      </c>
      <c r="O117" s="747" t="e">
        <f t="shared" si="15"/>
        <v>#DIV/0!</v>
      </c>
      <c r="P117" s="747" t="e">
        <f t="shared" si="15"/>
        <v>#DIV/0!</v>
      </c>
      <c r="Q117" s="747" t="e">
        <f t="shared" si="15"/>
        <v>#DIV/0!</v>
      </c>
      <c r="R117" s="747" t="e">
        <f t="shared" si="14"/>
        <v>#DIV/0!</v>
      </c>
    </row>
    <row r="118" spans="1:18" x14ac:dyDescent="0.25">
      <c r="A118" s="745">
        <f>'Состав ВТК'!B121</f>
        <v>0</v>
      </c>
      <c r="B118" s="739">
        <f>'Состав ВТК'!L121</f>
        <v>0</v>
      </c>
      <c r="C118" s="739">
        <f>'Состав ВТК'!M121</f>
        <v>0</v>
      </c>
      <c r="D118" s="746" t="b">
        <f t="shared" si="9"/>
        <v>0</v>
      </c>
      <c r="E118" s="746" t="b">
        <f t="shared" si="10"/>
        <v>0</v>
      </c>
      <c r="F118" s="746" t="b">
        <f t="shared" si="11"/>
        <v>0</v>
      </c>
      <c r="G118" s="746" t="b">
        <f t="shared" si="12"/>
        <v>0</v>
      </c>
      <c r="H118" s="741">
        <f>IF(D118=TRUE,IF(E118=FALSE,'Расчет участников НИР'!$H128*(50%/1),IF(AND(E118=TRUE,F118=TRUE,G118=TRUE),'Расчет участников НИР'!$H128*'счеталка премий'!$T$6,IF(AND(E118=TRUE,F118=TRUE),'Расчет участников НИР'!$H128*(50%/3),'Расчет участников НИР'!$H128*(50%/2)))),0)</f>
        <v>0</v>
      </c>
      <c r="I118" s="741">
        <f>IF(E118=TRUE,IF(D118=FALSE,'Расчет участников НИР'!$H128*(10%),IF(F118=FALSE,'Расчет участников НИР'!$H128*(50%/2),IF(AND(F118=TRUE,G118=TRUE),'Расчет участников НИР'!$H128*'счеталка премий'!$T$6,'Расчет участников НИР'!$H128*(50%/3)))),0)</f>
        <v>0</v>
      </c>
      <c r="J118" s="741">
        <f>IF(F118=TRUE,IF(AND(D118=FALSE,E118=FALSE),'Расчет участников НИР'!$H128*(20%),IF(D118=FALSE,'Расчет участников НИР'!$H128*(10%),IF(G118=FALSE,'Расчет участников НИР'!$H128*(50%/3),'Расчет участников НИР'!$H128*'счеталка премий'!$T$6))),0)</f>
        <v>0</v>
      </c>
      <c r="K118" s="741">
        <f>IF(G118=TRUE,IF(AND(D118=FALSE,E118=FALSE,F118=FALSE),'Расчет участников НИР'!$H128*(50%),'Расчет участников НИР'!$H128*'счеталка премий'!$T$7),0)</f>
        <v>0</v>
      </c>
      <c r="L118" s="741">
        <f t="shared" si="13"/>
        <v>0</v>
      </c>
      <c r="M118" s="741">
        <f>'Расчет участников НИР'!H128</f>
        <v>0</v>
      </c>
      <c r="O118" s="747" t="e">
        <f t="shared" si="15"/>
        <v>#DIV/0!</v>
      </c>
      <c r="P118" s="747" t="e">
        <f t="shared" si="15"/>
        <v>#DIV/0!</v>
      </c>
      <c r="Q118" s="747" t="e">
        <f t="shared" si="15"/>
        <v>#DIV/0!</v>
      </c>
      <c r="R118" s="747" t="e">
        <f t="shared" si="14"/>
        <v>#DIV/0!</v>
      </c>
    </row>
    <row r="119" spans="1:18" x14ac:dyDescent="0.25">
      <c r="A119" s="745">
        <f>'Состав ВТК'!B122</f>
        <v>0</v>
      </c>
      <c r="B119" s="739">
        <f>'Состав ВТК'!L122</f>
        <v>0</v>
      </c>
      <c r="C119" s="739">
        <f>'Состав ВТК'!M122</f>
        <v>0</v>
      </c>
      <c r="D119" s="746" t="b">
        <f t="shared" si="9"/>
        <v>0</v>
      </c>
      <c r="E119" s="746" t="b">
        <f t="shared" si="10"/>
        <v>0</v>
      </c>
      <c r="F119" s="746" t="b">
        <f t="shared" si="11"/>
        <v>0</v>
      </c>
      <c r="G119" s="746" t="b">
        <f t="shared" si="12"/>
        <v>0</v>
      </c>
      <c r="H119" s="741">
        <f>IF(D119=TRUE,IF(E119=FALSE,'Расчет участников НИР'!$H129*(50%/1),IF(AND(E119=TRUE,F119=TRUE,G119=TRUE),'Расчет участников НИР'!$H129*'счеталка премий'!$T$6,IF(AND(E119=TRUE,F119=TRUE),'Расчет участников НИР'!$H129*(50%/3),'Расчет участников НИР'!$H129*(50%/2)))),0)</f>
        <v>0</v>
      </c>
      <c r="I119" s="741">
        <f>IF(E119=TRUE,IF(D119=FALSE,'Расчет участников НИР'!$H129*(10%),IF(F119=FALSE,'Расчет участников НИР'!$H129*(50%/2),IF(AND(F119=TRUE,G119=TRUE),'Расчет участников НИР'!$H129*'счеталка премий'!$T$6,'Расчет участников НИР'!$H129*(50%/3)))),0)</f>
        <v>0</v>
      </c>
      <c r="J119" s="741">
        <f>IF(F119=TRUE,IF(AND(D119=FALSE,E119=FALSE),'Расчет участников НИР'!$H129*(20%),IF(D119=FALSE,'Расчет участников НИР'!$H129*(10%),IF(G119=FALSE,'Расчет участников НИР'!$H129*(50%/3),'Расчет участников НИР'!$H129*'счеталка премий'!$T$6))),0)</f>
        <v>0</v>
      </c>
      <c r="K119" s="741">
        <f>IF(G119=TRUE,IF(AND(D119=FALSE,E119=FALSE,F119=FALSE),'Расчет участников НИР'!$H129*(50%),'Расчет участников НИР'!$H129*'счеталка премий'!$T$7),0)</f>
        <v>0</v>
      </c>
      <c r="L119" s="741">
        <f t="shared" si="13"/>
        <v>0</v>
      </c>
      <c r="M119" s="741">
        <f>'Расчет участников НИР'!H129</f>
        <v>0</v>
      </c>
      <c r="O119" s="747" t="e">
        <f t="shared" si="15"/>
        <v>#DIV/0!</v>
      </c>
      <c r="P119" s="747" t="e">
        <f t="shared" si="15"/>
        <v>#DIV/0!</v>
      </c>
      <c r="Q119" s="747" t="e">
        <f t="shared" si="15"/>
        <v>#DIV/0!</v>
      </c>
      <c r="R119" s="747" t="e">
        <f t="shared" si="14"/>
        <v>#DIV/0!</v>
      </c>
    </row>
    <row r="120" spans="1:18" x14ac:dyDescent="0.25">
      <c r="A120" s="745">
        <f>'Состав ВТК'!B123</f>
        <v>0</v>
      </c>
      <c r="B120" s="739">
        <f>'Состав ВТК'!L123</f>
        <v>0</v>
      </c>
      <c r="C120" s="739">
        <f>'Состав ВТК'!M123</f>
        <v>0</v>
      </c>
      <c r="D120" s="746" t="b">
        <f t="shared" si="9"/>
        <v>0</v>
      </c>
      <c r="E120" s="746" t="b">
        <f t="shared" si="10"/>
        <v>0</v>
      </c>
      <c r="F120" s="746" t="b">
        <f t="shared" si="11"/>
        <v>0</v>
      </c>
      <c r="G120" s="746" t="b">
        <f t="shared" si="12"/>
        <v>0</v>
      </c>
      <c r="H120" s="741">
        <f>IF(D120=TRUE,IF(E120=FALSE,'Расчет участников НИР'!$H130*(50%/1),IF(AND(E120=TRUE,F120=TRUE,G120=TRUE),'Расчет участников НИР'!$H130*'счеталка премий'!$T$6,IF(AND(E120=TRUE,F120=TRUE),'Расчет участников НИР'!$H130*(50%/3),'Расчет участников НИР'!$H130*(50%/2)))),0)</f>
        <v>0</v>
      </c>
      <c r="I120" s="741">
        <f>IF(E120=TRUE,IF(D120=FALSE,'Расчет участников НИР'!$H130*(10%),IF(F120=FALSE,'Расчет участников НИР'!$H130*(50%/2),IF(AND(F120=TRUE,G120=TRUE),'Расчет участников НИР'!$H130*'счеталка премий'!$T$6,'Расчет участников НИР'!$H130*(50%/3)))),0)</f>
        <v>0</v>
      </c>
      <c r="J120" s="741">
        <f>IF(F120=TRUE,IF(AND(D120=FALSE,E120=FALSE),'Расчет участников НИР'!$H130*(20%),IF(D120=FALSE,'Расчет участников НИР'!$H130*(10%),IF(G120=FALSE,'Расчет участников НИР'!$H130*(50%/3),'Расчет участников НИР'!$H130*'счеталка премий'!$T$6))),0)</f>
        <v>0</v>
      </c>
      <c r="K120" s="741">
        <f>IF(G120=TRUE,IF(AND(D120=FALSE,E120=FALSE,F120=FALSE),'Расчет участников НИР'!$H130*(50%),'Расчет участников НИР'!$H130*'счеталка премий'!$T$7),0)</f>
        <v>0</v>
      </c>
      <c r="L120" s="741">
        <f t="shared" si="13"/>
        <v>0</v>
      </c>
      <c r="M120" s="741">
        <f>'Расчет участников НИР'!H130</f>
        <v>0</v>
      </c>
      <c r="O120" s="747" t="e">
        <f t="shared" si="15"/>
        <v>#DIV/0!</v>
      </c>
      <c r="P120" s="747" t="e">
        <f t="shared" si="15"/>
        <v>#DIV/0!</v>
      </c>
      <c r="Q120" s="747" t="e">
        <f t="shared" si="15"/>
        <v>#DIV/0!</v>
      </c>
      <c r="R120" s="747" t="e">
        <f t="shared" si="14"/>
        <v>#DIV/0!</v>
      </c>
    </row>
    <row r="121" spans="1:18" x14ac:dyDescent="0.25">
      <c r="A121" s="745">
        <f>'Состав ВТК'!B124</f>
        <v>0</v>
      </c>
      <c r="B121" s="739">
        <f>'Состав ВТК'!L124</f>
        <v>0</v>
      </c>
      <c r="C121" s="739">
        <f>'Состав ВТК'!M124</f>
        <v>0</v>
      </c>
      <c r="D121" s="746" t="b">
        <f t="shared" si="9"/>
        <v>0</v>
      </c>
      <c r="E121" s="746" t="b">
        <f t="shared" si="10"/>
        <v>0</v>
      </c>
      <c r="F121" s="746" t="b">
        <f t="shared" si="11"/>
        <v>0</v>
      </c>
      <c r="G121" s="746" t="b">
        <f t="shared" si="12"/>
        <v>0</v>
      </c>
      <c r="H121" s="741">
        <f>IF(D121=TRUE,IF(E121=FALSE,'Расчет участников НИР'!$H131*(50%/1),IF(AND(E121=TRUE,F121=TRUE,G121=TRUE),'Расчет участников НИР'!$H131*'счеталка премий'!$T$6,IF(AND(E121=TRUE,F121=TRUE),'Расчет участников НИР'!$H131*(50%/3),'Расчет участников НИР'!$H131*(50%/2)))),0)</f>
        <v>0</v>
      </c>
      <c r="I121" s="741">
        <f>IF(E121=TRUE,IF(D121=FALSE,'Расчет участников НИР'!$H131*(10%),IF(F121=FALSE,'Расчет участников НИР'!$H131*(50%/2),IF(AND(F121=TRUE,G121=TRUE),'Расчет участников НИР'!$H131*'счеталка премий'!$T$6,'Расчет участников НИР'!$H131*(50%/3)))),0)</f>
        <v>0</v>
      </c>
      <c r="J121" s="741">
        <f>IF(F121=TRUE,IF(AND(D121=FALSE,E121=FALSE),'Расчет участников НИР'!$H131*(20%),IF(D121=FALSE,'Расчет участников НИР'!$H131*(10%),IF(G121=FALSE,'Расчет участников НИР'!$H131*(50%/3),'Расчет участников НИР'!$H131*'счеталка премий'!$T$6))),0)</f>
        <v>0</v>
      </c>
      <c r="K121" s="741">
        <f>IF(G121=TRUE,IF(AND(D121=FALSE,E121=FALSE,F121=FALSE),'Расчет участников НИР'!$H131*(50%),'Расчет участников НИР'!$H131*'счеталка премий'!$T$7),0)</f>
        <v>0</v>
      </c>
      <c r="L121" s="741">
        <f t="shared" si="13"/>
        <v>0</v>
      </c>
      <c r="M121" s="741">
        <f>'Расчет участников НИР'!H131</f>
        <v>0</v>
      </c>
      <c r="O121" s="747" t="e">
        <f t="shared" si="15"/>
        <v>#DIV/0!</v>
      </c>
      <c r="P121" s="747" t="e">
        <f t="shared" si="15"/>
        <v>#DIV/0!</v>
      </c>
      <c r="Q121" s="747" t="e">
        <f t="shared" si="15"/>
        <v>#DIV/0!</v>
      </c>
      <c r="R121" s="747" t="e">
        <f t="shared" si="14"/>
        <v>#DIV/0!</v>
      </c>
    </row>
    <row r="122" spans="1:18" x14ac:dyDescent="0.25">
      <c r="A122" s="745">
        <f>'Состав ВТК'!B125</f>
        <v>0</v>
      </c>
      <c r="B122" s="739">
        <f>'Состав ВТК'!L125</f>
        <v>0</v>
      </c>
      <c r="C122" s="739">
        <f>'Состав ВТК'!M125</f>
        <v>0</v>
      </c>
      <c r="D122" s="746" t="b">
        <f t="shared" si="9"/>
        <v>0</v>
      </c>
      <c r="E122" s="746" t="b">
        <f t="shared" si="10"/>
        <v>0</v>
      </c>
      <c r="F122" s="746" t="b">
        <f t="shared" si="11"/>
        <v>0</v>
      </c>
      <c r="G122" s="746" t="b">
        <f t="shared" si="12"/>
        <v>0</v>
      </c>
      <c r="H122" s="741">
        <f>IF(D122=TRUE,IF(E122=FALSE,'Расчет участников НИР'!$H132*(50%/1),IF(AND(E122=TRUE,F122=TRUE,G122=TRUE),'Расчет участников НИР'!$H132*'счеталка премий'!$T$6,IF(AND(E122=TRUE,F122=TRUE),'Расчет участников НИР'!$H132*(50%/3),'Расчет участников НИР'!$H132*(50%/2)))),0)</f>
        <v>0</v>
      </c>
      <c r="I122" s="741">
        <f>IF(E122=TRUE,IF(D122=FALSE,'Расчет участников НИР'!$H132*(10%),IF(F122=FALSE,'Расчет участников НИР'!$H132*(50%/2),IF(AND(F122=TRUE,G122=TRUE),'Расчет участников НИР'!$H132*'счеталка премий'!$T$6,'Расчет участников НИР'!$H132*(50%/3)))),0)</f>
        <v>0</v>
      </c>
      <c r="J122" s="741">
        <f>IF(F122=TRUE,IF(AND(D122=FALSE,E122=FALSE),'Расчет участников НИР'!$H132*(20%),IF(D122=FALSE,'Расчет участников НИР'!$H132*(10%),IF(G122=FALSE,'Расчет участников НИР'!$H132*(50%/3),'Расчет участников НИР'!$H132*'счеталка премий'!$T$6))),0)</f>
        <v>0</v>
      </c>
      <c r="K122" s="741">
        <f>IF(G122=TRUE,IF(AND(D122=FALSE,E122=FALSE,F122=FALSE),'Расчет участников НИР'!$H132*(50%),'Расчет участников НИР'!$H132*'счеталка премий'!$T$7),0)</f>
        <v>0</v>
      </c>
      <c r="L122" s="741">
        <f t="shared" si="13"/>
        <v>0</v>
      </c>
      <c r="M122" s="741">
        <f>'Расчет участников НИР'!H132</f>
        <v>0</v>
      </c>
      <c r="O122" s="747" t="e">
        <f t="shared" si="15"/>
        <v>#DIV/0!</v>
      </c>
      <c r="P122" s="747" t="e">
        <f t="shared" si="15"/>
        <v>#DIV/0!</v>
      </c>
      <c r="Q122" s="747" t="e">
        <f t="shared" si="15"/>
        <v>#DIV/0!</v>
      </c>
      <c r="R122" s="747" t="e">
        <f t="shared" si="14"/>
        <v>#DIV/0!</v>
      </c>
    </row>
    <row r="123" spans="1:18" x14ac:dyDescent="0.25">
      <c r="A123" s="745">
        <f>'Состав ВТК'!B126</f>
        <v>0</v>
      </c>
      <c r="B123" s="739">
        <f>'Состав ВТК'!L126</f>
        <v>0</v>
      </c>
      <c r="C123" s="739">
        <f>'Состав ВТК'!M126</f>
        <v>0</v>
      </c>
      <c r="D123" s="746" t="b">
        <f t="shared" si="9"/>
        <v>0</v>
      </c>
      <c r="E123" s="746" t="b">
        <f t="shared" si="10"/>
        <v>0</v>
      </c>
      <c r="F123" s="746" t="b">
        <f t="shared" si="11"/>
        <v>0</v>
      </c>
      <c r="G123" s="746" t="b">
        <f t="shared" si="12"/>
        <v>0</v>
      </c>
      <c r="H123" s="741">
        <f>IF(D123=TRUE,IF(E123=FALSE,'Расчет участников НИР'!$H133*(50%/1),IF(AND(E123=TRUE,F123=TRUE,G123=TRUE),'Расчет участников НИР'!$H133*'счеталка премий'!$T$6,IF(AND(E123=TRUE,F123=TRUE),'Расчет участников НИР'!$H133*(50%/3),'Расчет участников НИР'!$H133*(50%/2)))),0)</f>
        <v>0</v>
      </c>
      <c r="I123" s="741">
        <f>IF(E123=TRUE,IF(D123=FALSE,'Расчет участников НИР'!$H133*(10%),IF(F123=FALSE,'Расчет участников НИР'!$H133*(50%/2),IF(AND(F123=TRUE,G123=TRUE),'Расчет участников НИР'!$H133*'счеталка премий'!$T$6,'Расчет участников НИР'!$H133*(50%/3)))),0)</f>
        <v>0</v>
      </c>
      <c r="J123" s="741">
        <f>IF(F123=TRUE,IF(AND(D123=FALSE,E123=FALSE),'Расчет участников НИР'!$H133*(20%),IF(D123=FALSE,'Расчет участников НИР'!$H133*(10%),IF(G123=FALSE,'Расчет участников НИР'!$H133*(50%/3),'Расчет участников НИР'!$H133*'счеталка премий'!$T$6))),0)</f>
        <v>0</v>
      </c>
      <c r="K123" s="741">
        <f>IF(G123=TRUE,IF(AND(D123=FALSE,E123=FALSE,F123=FALSE),'Расчет участников НИР'!$H133*(50%),'Расчет участников НИР'!$H133*'счеталка премий'!$T$7),0)</f>
        <v>0</v>
      </c>
      <c r="L123" s="741">
        <f t="shared" si="13"/>
        <v>0</v>
      </c>
      <c r="M123" s="741">
        <f>'Расчет участников НИР'!H133</f>
        <v>0</v>
      </c>
      <c r="O123" s="747" t="e">
        <f t="shared" si="15"/>
        <v>#DIV/0!</v>
      </c>
      <c r="P123" s="747" t="e">
        <f t="shared" si="15"/>
        <v>#DIV/0!</v>
      </c>
      <c r="Q123" s="747" t="e">
        <f t="shared" si="15"/>
        <v>#DIV/0!</v>
      </c>
      <c r="R123" s="747" t="e">
        <f t="shared" si="14"/>
        <v>#DIV/0!</v>
      </c>
    </row>
    <row r="124" spans="1:18" x14ac:dyDescent="0.25">
      <c r="A124" s="745">
        <f>'Состав ВТК'!B127</f>
        <v>0</v>
      </c>
      <c r="B124" s="739">
        <f>'Состав ВТК'!L127</f>
        <v>0</v>
      </c>
      <c r="C124" s="739">
        <f>'Состав ВТК'!M127</f>
        <v>0</v>
      </c>
      <c r="D124" s="746" t="b">
        <f t="shared" si="9"/>
        <v>0</v>
      </c>
      <c r="E124" s="746" t="b">
        <f t="shared" si="10"/>
        <v>0</v>
      </c>
      <c r="F124" s="746" t="b">
        <f t="shared" si="11"/>
        <v>0</v>
      </c>
      <c r="G124" s="746" t="b">
        <f t="shared" si="12"/>
        <v>0</v>
      </c>
      <c r="H124" s="741">
        <f>IF(D124=TRUE,IF(E124=FALSE,'Расчет участников НИР'!$H134*(50%/1),IF(AND(E124=TRUE,F124=TRUE,G124=TRUE),'Расчет участников НИР'!$H134*'счеталка премий'!$T$6,IF(AND(E124=TRUE,F124=TRUE),'Расчет участников НИР'!$H134*(50%/3),'Расчет участников НИР'!$H134*(50%/2)))),0)</f>
        <v>0</v>
      </c>
      <c r="I124" s="741">
        <f>IF(E124=TRUE,IF(D124=FALSE,'Расчет участников НИР'!$H134*(10%),IF(F124=FALSE,'Расчет участников НИР'!$H134*(50%/2),IF(AND(F124=TRUE,G124=TRUE),'Расчет участников НИР'!$H134*'счеталка премий'!$T$6,'Расчет участников НИР'!$H134*(50%/3)))),0)</f>
        <v>0</v>
      </c>
      <c r="J124" s="741">
        <f>IF(F124=TRUE,IF(AND(D124=FALSE,E124=FALSE),'Расчет участников НИР'!$H134*(20%),IF(D124=FALSE,'Расчет участников НИР'!$H134*(10%),IF(G124=FALSE,'Расчет участников НИР'!$H134*(50%/3),'Расчет участников НИР'!$H134*'счеталка премий'!$T$6))),0)</f>
        <v>0</v>
      </c>
      <c r="K124" s="741">
        <f>IF(G124=TRUE,IF(AND(D124=FALSE,E124=FALSE,F124=FALSE),'Расчет участников НИР'!$H134*(50%),'Расчет участников НИР'!$H134*'счеталка премий'!$T$7),0)</f>
        <v>0</v>
      </c>
      <c r="L124" s="741">
        <f t="shared" si="13"/>
        <v>0</v>
      </c>
      <c r="M124" s="741">
        <f>'Расчет участников НИР'!H134</f>
        <v>0</v>
      </c>
      <c r="O124" s="747" t="e">
        <f t="shared" si="15"/>
        <v>#DIV/0!</v>
      </c>
      <c r="P124" s="747" t="e">
        <f t="shared" si="15"/>
        <v>#DIV/0!</v>
      </c>
      <c r="Q124" s="747" t="e">
        <f t="shared" si="15"/>
        <v>#DIV/0!</v>
      </c>
      <c r="R124" s="747" t="e">
        <f t="shared" si="14"/>
        <v>#DIV/0!</v>
      </c>
    </row>
    <row r="125" spans="1:18" x14ac:dyDescent="0.25">
      <c r="A125" s="745">
        <f>'Состав ВТК'!B128</f>
        <v>0</v>
      </c>
      <c r="B125" s="739">
        <f>'Состав ВТК'!L128</f>
        <v>0</v>
      </c>
      <c r="C125" s="739">
        <f>'Состав ВТК'!M128</f>
        <v>0</v>
      </c>
      <c r="D125" s="746" t="b">
        <f t="shared" si="9"/>
        <v>0</v>
      </c>
      <c r="E125" s="746" t="b">
        <f t="shared" si="10"/>
        <v>0</v>
      </c>
      <c r="F125" s="746" t="b">
        <f t="shared" si="11"/>
        <v>0</v>
      </c>
      <c r="G125" s="746" t="b">
        <f t="shared" si="12"/>
        <v>0</v>
      </c>
      <c r="H125" s="741">
        <f>IF(D125=TRUE,IF(E125=FALSE,'Расчет участников НИР'!$H135*(50%/1),IF(AND(E125=TRUE,F125=TRUE,G125=TRUE),'Расчет участников НИР'!$H135*'счеталка премий'!$T$6,IF(AND(E125=TRUE,F125=TRUE),'Расчет участников НИР'!$H135*(50%/3),'Расчет участников НИР'!$H135*(50%/2)))),0)</f>
        <v>0</v>
      </c>
      <c r="I125" s="741">
        <f>IF(E125=TRUE,IF(D125=FALSE,'Расчет участников НИР'!$H135*(10%),IF(F125=FALSE,'Расчет участников НИР'!$H135*(50%/2),IF(AND(F125=TRUE,G125=TRUE),'Расчет участников НИР'!$H135*'счеталка премий'!$T$6,'Расчет участников НИР'!$H135*(50%/3)))),0)</f>
        <v>0</v>
      </c>
      <c r="J125" s="741">
        <f>IF(F125=TRUE,IF(AND(D125=FALSE,E125=FALSE),'Расчет участников НИР'!$H135*(20%),IF(D125=FALSE,'Расчет участников НИР'!$H135*(10%),IF(G125=FALSE,'Расчет участников НИР'!$H135*(50%/3),'Расчет участников НИР'!$H135*'счеталка премий'!$T$6))),0)</f>
        <v>0</v>
      </c>
      <c r="K125" s="741">
        <f>IF(G125=TRUE,IF(AND(D125=FALSE,E125=FALSE,F125=FALSE),'Расчет участников НИР'!$H135*(50%),'Расчет участников НИР'!$H135*'счеталка премий'!$T$7),0)</f>
        <v>0</v>
      </c>
      <c r="L125" s="741">
        <f t="shared" si="13"/>
        <v>0</v>
      </c>
      <c r="M125" s="741">
        <f>'Расчет участников НИР'!H135</f>
        <v>0</v>
      </c>
      <c r="O125" s="747" t="e">
        <f t="shared" si="15"/>
        <v>#DIV/0!</v>
      </c>
      <c r="P125" s="747" t="e">
        <f t="shared" si="15"/>
        <v>#DIV/0!</v>
      </c>
      <c r="Q125" s="747" t="e">
        <f t="shared" si="15"/>
        <v>#DIV/0!</v>
      </c>
      <c r="R125" s="747" t="e">
        <f t="shared" si="14"/>
        <v>#DIV/0!</v>
      </c>
    </row>
    <row r="126" spans="1:18" x14ac:dyDescent="0.25">
      <c r="A126" s="745">
        <f>'Состав ВТК'!B129</f>
        <v>0</v>
      </c>
      <c r="B126" s="739">
        <f>'Состав ВТК'!L129</f>
        <v>0</v>
      </c>
      <c r="C126" s="739">
        <f>'Состав ВТК'!M129</f>
        <v>0</v>
      </c>
      <c r="D126" s="746" t="b">
        <f t="shared" si="9"/>
        <v>0</v>
      </c>
      <c r="E126" s="746" t="b">
        <f t="shared" si="10"/>
        <v>0</v>
      </c>
      <c r="F126" s="746" t="b">
        <f t="shared" si="11"/>
        <v>0</v>
      </c>
      <c r="G126" s="746" t="b">
        <f t="shared" si="12"/>
        <v>0</v>
      </c>
      <c r="H126" s="741">
        <f>IF(D126=TRUE,IF(E126=FALSE,'Расчет участников НИР'!$H136*(50%/1),IF(AND(E126=TRUE,F126=TRUE,G126=TRUE),'Расчет участников НИР'!$H136*'счеталка премий'!$T$6,IF(AND(E126=TRUE,F126=TRUE),'Расчет участников НИР'!$H136*(50%/3),'Расчет участников НИР'!$H136*(50%/2)))),0)</f>
        <v>0</v>
      </c>
      <c r="I126" s="741">
        <f>IF(E126=TRUE,IF(D126=FALSE,'Расчет участников НИР'!$H136*(10%),IF(F126=FALSE,'Расчет участников НИР'!$H136*(50%/2),IF(AND(F126=TRUE,G126=TRUE),'Расчет участников НИР'!$H136*'счеталка премий'!$T$6,'Расчет участников НИР'!$H136*(50%/3)))),0)</f>
        <v>0</v>
      </c>
      <c r="J126" s="741">
        <f>IF(F126=TRUE,IF(AND(D126=FALSE,E126=FALSE),'Расчет участников НИР'!$H136*(20%),IF(D126=FALSE,'Расчет участников НИР'!$H136*(10%),IF(G126=FALSE,'Расчет участников НИР'!$H136*(50%/3),'Расчет участников НИР'!$H136*'счеталка премий'!$T$6))),0)</f>
        <v>0</v>
      </c>
      <c r="K126" s="741">
        <f>IF(G126=TRUE,IF(AND(D126=FALSE,E126=FALSE,F126=FALSE),'Расчет участников НИР'!$H136*(50%),'Расчет участников НИР'!$H136*'счеталка премий'!$T$7),0)</f>
        <v>0</v>
      </c>
      <c r="L126" s="741">
        <f t="shared" si="13"/>
        <v>0</v>
      </c>
      <c r="M126" s="741">
        <f>'Расчет участников НИР'!H136</f>
        <v>0</v>
      </c>
      <c r="O126" s="747" t="e">
        <f t="shared" si="15"/>
        <v>#DIV/0!</v>
      </c>
      <c r="P126" s="747" t="e">
        <f t="shared" si="15"/>
        <v>#DIV/0!</v>
      </c>
      <c r="Q126" s="747" t="e">
        <f t="shared" si="15"/>
        <v>#DIV/0!</v>
      </c>
      <c r="R126" s="747" t="e">
        <f t="shared" si="14"/>
        <v>#DIV/0!</v>
      </c>
    </row>
    <row r="127" spans="1:18" x14ac:dyDescent="0.25">
      <c r="A127" s="745">
        <f>'Состав ВТК'!B130</f>
        <v>0</v>
      </c>
      <c r="B127" s="739">
        <f>'Состав ВТК'!L130</f>
        <v>0</v>
      </c>
      <c r="C127" s="739">
        <f>'Состав ВТК'!M130</f>
        <v>0</v>
      </c>
      <c r="D127" s="746" t="b">
        <f t="shared" si="9"/>
        <v>0</v>
      </c>
      <c r="E127" s="746" t="b">
        <f t="shared" si="10"/>
        <v>0</v>
      </c>
      <c r="F127" s="746" t="b">
        <f t="shared" si="11"/>
        <v>0</v>
      </c>
      <c r="G127" s="746" t="b">
        <f t="shared" si="12"/>
        <v>0</v>
      </c>
      <c r="H127" s="741">
        <f>IF(D127=TRUE,IF(E127=FALSE,'Расчет участников НИР'!$H137*(50%/1),IF(AND(E127=TRUE,F127=TRUE,G127=TRUE),'Расчет участников НИР'!$H137*'счеталка премий'!$T$6,IF(AND(E127=TRUE,F127=TRUE),'Расчет участников НИР'!$H137*(50%/3),'Расчет участников НИР'!$H137*(50%/2)))),0)</f>
        <v>0</v>
      </c>
      <c r="I127" s="741">
        <f>IF(E127=TRUE,IF(D127=FALSE,'Расчет участников НИР'!$H137*(10%),IF(F127=FALSE,'Расчет участников НИР'!$H137*(50%/2),IF(AND(F127=TRUE,G127=TRUE),'Расчет участников НИР'!$H137*'счеталка премий'!$T$6,'Расчет участников НИР'!$H137*(50%/3)))),0)</f>
        <v>0</v>
      </c>
      <c r="J127" s="741">
        <f>IF(F127=TRUE,IF(AND(D127=FALSE,E127=FALSE),'Расчет участников НИР'!$H137*(20%),IF(D127=FALSE,'Расчет участников НИР'!$H137*(10%),IF(G127=FALSE,'Расчет участников НИР'!$H137*(50%/3),'Расчет участников НИР'!$H137*'счеталка премий'!$T$6))),0)</f>
        <v>0</v>
      </c>
      <c r="K127" s="741">
        <f>IF(G127=TRUE,IF(AND(D127=FALSE,E127=FALSE,F127=FALSE),'Расчет участников НИР'!$H137*(50%),'Расчет участников НИР'!$H137*'счеталка премий'!$T$7),0)</f>
        <v>0</v>
      </c>
      <c r="L127" s="741">
        <f t="shared" si="13"/>
        <v>0</v>
      </c>
      <c r="M127" s="741">
        <f>'Расчет участников НИР'!H137</f>
        <v>0</v>
      </c>
      <c r="O127" s="747" t="e">
        <f t="shared" si="15"/>
        <v>#DIV/0!</v>
      </c>
      <c r="P127" s="747" t="e">
        <f t="shared" si="15"/>
        <v>#DIV/0!</v>
      </c>
      <c r="Q127" s="747" t="e">
        <f t="shared" si="15"/>
        <v>#DIV/0!</v>
      </c>
      <c r="R127" s="747" t="e">
        <f t="shared" si="14"/>
        <v>#DIV/0!</v>
      </c>
    </row>
    <row r="128" spans="1:18" x14ac:dyDescent="0.25">
      <c r="A128" s="745">
        <f>'Состав ВТК'!B131</f>
        <v>0</v>
      </c>
      <c r="B128" s="739">
        <f>'Состав ВТК'!L131</f>
        <v>0</v>
      </c>
      <c r="C128" s="739">
        <f>'Состав ВТК'!M131</f>
        <v>0</v>
      </c>
      <c r="D128" s="746" t="b">
        <f t="shared" si="9"/>
        <v>0</v>
      </c>
      <c r="E128" s="746" t="b">
        <f t="shared" si="10"/>
        <v>0</v>
      </c>
      <c r="F128" s="746" t="b">
        <f t="shared" si="11"/>
        <v>0</v>
      </c>
      <c r="G128" s="746" t="b">
        <f t="shared" si="12"/>
        <v>0</v>
      </c>
      <c r="H128" s="741">
        <f>IF(D128=TRUE,IF(E128=FALSE,'Расчет участников НИР'!$H138*(50%/1),IF(AND(E128=TRUE,F128=TRUE,G128=TRUE),'Расчет участников НИР'!$H138*'счеталка премий'!$T$6,IF(AND(E128=TRUE,F128=TRUE),'Расчет участников НИР'!$H138*(50%/3),'Расчет участников НИР'!$H138*(50%/2)))),0)</f>
        <v>0</v>
      </c>
      <c r="I128" s="741">
        <f>IF(E128=TRUE,IF(D128=FALSE,'Расчет участников НИР'!$H138*(10%),IF(F128=FALSE,'Расчет участников НИР'!$H138*(50%/2),IF(AND(F128=TRUE,G128=TRUE),'Расчет участников НИР'!$H138*'счеталка премий'!$T$6,'Расчет участников НИР'!$H138*(50%/3)))),0)</f>
        <v>0</v>
      </c>
      <c r="J128" s="741">
        <f>IF(F128=TRUE,IF(AND(D128=FALSE,E128=FALSE),'Расчет участников НИР'!$H138*(20%),IF(D128=FALSE,'Расчет участников НИР'!$H138*(10%),IF(G128=FALSE,'Расчет участников НИР'!$H138*(50%/3),'Расчет участников НИР'!$H138*'счеталка премий'!$T$6))),0)</f>
        <v>0</v>
      </c>
      <c r="K128" s="741">
        <f>IF(G128=TRUE,IF(AND(D128=FALSE,E128=FALSE,F128=FALSE),'Расчет участников НИР'!$H138*(50%),'Расчет участников НИР'!$H138*'счеталка премий'!$T$7),0)</f>
        <v>0</v>
      </c>
      <c r="L128" s="741">
        <f t="shared" si="13"/>
        <v>0</v>
      </c>
      <c r="M128" s="741">
        <f>'Расчет участников НИР'!H138</f>
        <v>0</v>
      </c>
      <c r="O128" s="747" t="e">
        <f t="shared" si="15"/>
        <v>#DIV/0!</v>
      </c>
      <c r="P128" s="747" t="e">
        <f t="shared" si="15"/>
        <v>#DIV/0!</v>
      </c>
      <c r="Q128" s="747" t="e">
        <f t="shared" si="15"/>
        <v>#DIV/0!</v>
      </c>
      <c r="R128" s="747" t="e">
        <f t="shared" si="14"/>
        <v>#DIV/0!</v>
      </c>
    </row>
    <row r="129" spans="1:18" x14ac:dyDescent="0.25">
      <c r="A129" s="745">
        <f>'Состав ВТК'!B132</f>
        <v>0</v>
      </c>
      <c r="B129" s="739">
        <f>'Состав ВТК'!L132</f>
        <v>0</v>
      </c>
      <c r="C129" s="739">
        <f>'Состав ВТК'!M132</f>
        <v>0</v>
      </c>
      <c r="D129" s="746" t="b">
        <f t="shared" si="9"/>
        <v>0</v>
      </c>
      <c r="E129" s="746" t="b">
        <f t="shared" si="10"/>
        <v>0</v>
      </c>
      <c r="F129" s="746" t="b">
        <f t="shared" si="11"/>
        <v>0</v>
      </c>
      <c r="G129" s="746" t="b">
        <f t="shared" si="12"/>
        <v>0</v>
      </c>
      <c r="H129" s="741">
        <f>IF(D129=TRUE,IF(E129=FALSE,'Расчет участников НИР'!$H139*(50%/1),IF(AND(E129=TRUE,F129=TRUE,G129=TRUE),'Расчет участников НИР'!$H139*'счеталка премий'!$T$6,IF(AND(E129=TRUE,F129=TRUE),'Расчет участников НИР'!$H139*(50%/3),'Расчет участников НИР'!$H139*(50%/2)))),0)</f>
        <v>0</v>
      </c>
      <c r="I129" s="741">
        <f>IF(E129=TRUE,IF(D129=FALSE,'Расчет участников НИР'!$H139*(10%),IF(F129=FALSE,'Расчет участников НИР'!$H139*(50%/2),IF(AND(F129=TRUE,G129=TRUE),'Расчет участников НИР'!$H139*'счеталка премий'!$T$6,'Расчет участников НИР'!$H139*(50%/3)))),0)</f>
        <v>0</v>
      </c>
      <c r="J129" s="741">
        <f>IF(F129=TRUE,IF(AND(D129=FALSE,E129=FALSE),'Расчет участников НИР'!$H139*(20%),IF(D129=FALSE,'Расчет участников НИР'!$H139*(10%),IF(G129=FALSE,'Расчет участников НИР'!$H139*(50%/3),'Расчет участников НИР'!$H139*'счеталка премий'!$T$6))),0)</f>
        <v>0</v>
      </c>
      <c r="K129" s="741">
        <f>IF(G129=TRUE,IF(AND(D129=FALSE,E129=FALSE,F129=FALSE),'Расчет участников НИР'!$H139*(50%),'Расчет участников НИР'!$H139*'счеталка премий'!$T$7),0)</f>
        <v>0</v>
      </c>
      <c r="L129" s="741">
        <f t="shared" si="13"/>
        <v>0</v>
      </c>
      <c r="M129" s="741">
        <f>'Расчет участников НИР'!H139</f>
        <v>0</v>
      </c>
      <c r="O129" s="747" t="e">
        <f t="shared" si="15"/>
        <v>#DIV/0!</v>
      </c>
      <c r="P129" s="747" t="e">
        <f t="shared" si="15"/>
        <v>#DIV/0!</v>
      </c>
      <c r="Q129" s="747" t="e">
        <f t="shared" si="15"/>
        <v>#DIV/0!</v>
      </c>
      <c r="R129" s="747" t="e">
        <f t="shared" si="14"/>
        <v>#DIV/0!</v>
      </c>
    </row>
    <row r="130" spans="1:18" x14ac:dyDescent="0.25">
      <c r="A130" s="745">
        <f>'Состав ВТК'!B133</f>
        <v>0</v>
      </c>
      <c r="B130" s="739">
        <f>'Состав ВТК'!L133</f>
        <v>0</v>
      </c>
      <c r="C130" s="739">
        <f>'Состав ВТК'!M133</f>
        <v>0</v>
      </c>
      <c r="D130" s="746" t="b">
        <f t="shared" si="9"/>
        <v>0</v>
      </c>
      <c r="E130" s="746" t="b">
        <f t="shared" si="10"/>
        <v>0</v>
      </c>
      <c r="F130" s="746" t="b">
        <f t="shared" si="11"/>
        <v>0</v>
      </c>
      <c r="G130" s="746" t="b">
        <f t="shared" si="12"/>
        <v>0</v>
      </c>
      <c r="H130" s="741">
        <f>IF(D130=TRUE,IF(E130=FALSE,'Расчет участников НИР'!$H140*(50%/1),IF(AND(E130=TRUE,F130=TRUE,G130=TRUE),'Расчет участников НИР'!$H140*'счеталка премий'!$T$6,IF(AND(E130=TRUE,F130=TRUE),'Расчет участников НИР'!$H140*(50%/3),'Расчет участников НИР'!$H140*(50%/2)))),0)</f>
        <v>0</v>
      </c>
      <c r="I130" s="741">
        <f>IF(E130=TRUE,IF(D130=FALSE,'Расчет участников НИР'!$H140*(10%),IF(F130=FALSE,'Расчет участников НИР'!$H140*(50%/2),IF(AND(F130=TRUE,G130=TRUE),'Расчет участников НИР'!$H140*'счеталка премий'!$T$6,'Расчет участников НИР'!$H140*(50%/3)))),0)</f>
        <v>0</v>
      </c>
      <c r="J130" s="741">
        <f>IF(F130=TRUE,IF(AND(D130=FALSE,E130=FALSE),'Расчет участников НИР'!$H140*(20%),IF(D130=FALSE,'Расчет участников НИР'!$H140*(10%),IF(G130=FALSE,'Расчет участников НИР'!$H140*(50%/3),'Расчет участников НИР'!$H140*'счеталка премий'!$T$6))),0)</f>
        <v>0</v>
      </c>
      <c r="K130" s="741">
        <f>IF(G130=TRUE,IF(AND(D130=FALSE,E130=FALSE,F130=FALSE),'Расчет участников НИР'!$H140*(50%),'Расчет участников НИР'!$H140*'счеталка премий'!$T$7),0)</f>
        <v>0</v>
      </c>
      <c r="L130" s="741">
        <f t="shared" si="13"/>
        <v>0</v>
      </c>
      <c r="M130" s="741">
        <f>'Расчет участников НИР'!H140</f>
        <v>0</v>
      </c>
      <c r="O130" s="747" t="e">
        <f t="shared" si="15"/>
        <v>#DIV/0!</v>
      </c>
      <c r="P130" s="747" t="e">
        <f t="shared" si="15"/>
        <v>#DIV/0!</v>
      </c>
      <c r="Q130" s="747" t="e">
        <f t="shared" si="15"/>
        <v>#DIV/0!</v>
      </c>
      <c r="R130" s="747" t="e">
        <f t="shared" si="14"/>
        <v>#DIV/0!</v>
      </c>
    </row>
    <row r="131" spans="1:18" x14ac:dyDescent="0.25">
      <c r="A131" s="745">
        <f>'Состав ВТК'!B134</f>
        <v>0</v>
      </c>
      <c r="B131" s="739">
        <f>'Состав ВТК'!L134</f>
        <v>0</v>
      </c>
      <c r="C131" s="739">
        <f>'Состав ВТК'!M134</f>
        <v>0</v>
      </c>
      <c r="D131" s="746" t="b">
        <f t="shared" si="9"/>
        <v>0</v>
      </c>
      <c r="E131" s="746" t="b">
        <f t="shared" si="10"/>
        <v>0</v>
      </c>
      <c r="F131" s="746" t="b">
        <f t="shared" si="11"/>
        <v>0</v>
      </c>
      <c r="G131" s="746" t="b">
        <f t="shared" si="12"/>
        <v>0</v>
      </c>
      <c r="H131" s="741">
        <f>IF(D131=TRUE,IF(E131=FALSE,'Расчет участников НИР'!$H141*(50%/1),IF(AND(E131=TRUE,F131=TRUE,G131=TRUE),'Расчет участников НИР'!$H141*'счеталка премий'!$T$6,IF(AND(E131=TRUE,F131=TRUE),'Расчет участников НИР'!$H141*(50%/3),'Расчет участников НИР'!$H141*(50%/2)))),0)</f>
        <v>0</v>
      </c>
      <c r="I131" s="741">
        <f>IF(E131=TRUE,IF(D131=FALSE,'Расчет участников НИР'!$H141*(10%),IF(F131=FALSE,'Расчет участников НИР'!$H141*(50%/2),IF(AND(F131=TRUE,G131=TRUE),'Расчет участников НИР'!$H141*'счеталка премий'!$T$6,'Расчет участников НИР'!$H141*(50%/3)))),0)</f>
        <v>0</v>
      </c>
      <c r="J131" s="741">
        <f>IF(F131=TRUE,IF(AND(D131=FALSE,E131=FALSE),'Расчет участников НИР'!$H141*(20%),IF(D131=FALSE,'Расчет участников НИР'!$H141*(10%),IF(G131=FALSE,'Расчет участников НИР'!$H141*(50%/3),'Расчет участников НИР'!$H141*'счеталка премий'!$T$6))),0)</f>
        <v>0</v>
      </c>
      <c r="K131" s="741">
        <f>IF(G131=TRUE,IF(AND(D131=FALSE,E131=FALSE,F131=FALSE),'Расчет участников НИР'!$H141*(50%),'Расчет участников НИР'!$H141*'счеталка премий'!$T$7),0)</f>
        <v>0</v>
      </c>
      <c r="L131" s="741">
        <f t="shared" si="13"/>
        <v>0</v>
      </c>
      <c r="M131" s="741">
        <f>'Расчет участников НИР'!H141</f>
        <v>0</v>
      </c>
      <c r="O131" s="747" t="e">
        <f t="shared" si="15"/>
        <v>#DIV/0!</v>
      </c>
      <c r="P131" s="747" t="e">
        <f t="shared" si="15"/>
        <v>#DIV/0!</v>
      </c>
      <c r="Q131" s="747" t="e">
        <f t="shared" si="15"/>
        <v>#DIV/0!</v>
      </c>
      <c r="R131" s="747" t="e">
        <f t="shared" si="14"/>
        <v>#DIV/0!</v>
      </c>
    </row>
    <row r="132" spans="1:18" x14ac:dyDescent="0.25">
      <c r="A132" s="745">
        <f>'Состав ВТК'!B135</f>
        <v>0</v>
      </c>
      <c r="B132" s="739">
        <f>'Состав ВТК'!L135</f>
        <v>0</v>
      </c>
      <c r="C132" s="739">
        <f>'Состав ВТК'!M135</f>
        <v>0</v>
      </c>
      <c r="D132" s="746" t="b">
        <f t="shared" si="9"/>
        <v>0</v>
      </c>
      <c r="E132" s="746" t="b">
        <f t="shared" si="10"/>
        <v>0</v>
      </c>
      <c r="F132" s="746" t="b">
        <f t="shared" si="11"/>
        <v>0</v>
      </c>
      <c r="G132" s="746" t="b">
        <f t="shared" si="12"/>
        <v>0</v>
      </c>
      <c r="H132" s="741">
        <f>IF(D132=TRUE,IF(E132=FALSE,'Расчет участников НИР'!$H142*(50%/1),IF(AND(E132=TRUE,F132=TRUE,G132=TRUE),'Расчет участников НИР'!$H142*'счеталка премий'!$T$6,IF(AND(E132=TRUE,F132=TRUE),'Расчет участников НИР'!$H142*(50%/3),'Расчет участников НИР'!$H142*(50%/2)))),0)</f>
        <v>0</v>
      </c>
      <c r="I132" s="741">
        <f>IF(E132=TRUE,IF(D132=FALSE,'Расчет участников НИР'!$H142*(10%),IF(F132=FALSE,'Расчет участников НИР'!$H142*(50%/2),IF(AND(F132=TRUE,G132=TRUE),'Расчет участников НИР'!$H142*'счеталка премий'!$T$6,'Расчет участников НИР'!$H142*(50%/3)))),0)</f>
        <v>0</v>
      </c>
      <c r="J132" s="741">
        <f>IF(F132=TRUE,IF(AND(D132=FALSE,E132=FALSE),'Расчет участников НИР'!$H142*(20%),IF(D132=FALSE,'Расчет участников НИР'!$H142*(10%),IF(G132=FALSE,'Расчет участников НИР'!$H142*(50%/3),'Расчет участников НИР'!$H142*'счеталка премий'!$T$6))),0)</f>
        <v>0</v>
      </c>
      <c r="K132" s="741">
        <f>IF(G132=TRUE,IF(AND(D132=FALSE,E132=FALSE,F132=FALSE),'Расчет участников НИР'!$H142*(50%),'Расчет участников НИР'!$H142*'счеталка премий'!$T$7),0)</f>
        <v>0</v>
      </c>
      <c r="L132" s="741">
        <f t="shared" si="13"/>
        <v>0</v>
      </c>
      <c r="M132" s="741">
        <f>'Расчет участников НИР'!H142</f>
        <v>0</v>
      </c>
      <c r="O132" s="747" t="e">
        <f t="shared" si="15"/>
        <v>#DIV/0!</v>
      </c>
      <c r="P132" s="747" t="e">
        <f t="shared" si="15"/>
        <v>#DIV/0!</v>
      </c>
      <c r="Q132" s="747" t="e">
        <f t="shared" si="15"/>
        <v>#DIV/0!</v>
      </c>
      <c r="R132" s="747" t="e">
        <f t="shared" si="14"/>
        <v>#DIV/0!</v>
      </c>
    </row>
    <row r="133" spans="1:18" x14ac:dyDescent="0.25">
      <c r="A133" s="745">
        <f>'Состав ВТК'!B136</f>
        <v>0</v>
      </c>
      <c r="B133" s="739">
        <f>'Состав ВТК'!L136</f>
        <v>0</v>
      </c>
      <c r="C133" s="739">
        <f>'Состав ВТК'!M136</f>
        <v>0</v>
      </c>
      <c r="D133" s="746" t="b">
        <f t="shared" si="9"/>
        <v>0</v>
      </c>
      <c r="E133" s="746" t="b">
        <f t="shared" si="10"/>
        <v>0</v>
      </c>
      <c r="F133" s="746" t="b">
        <f t="shared" si="11"/>
        <v>0</v>
      </c>
      <c r="G133" s="746" t="b">
        <f t="shared" si="12"/>
        <v>0</v>
      </c>
      <c r="H133" s="741">
        <f>IF(D133=TRUE,IF(E133=FALSE,'Расчет участников НИР'!$H143*(50%/1),IF(AND(E133=TRUE,F133=TRUE,G133=TRUE),'Расчет участников НИР'!$H143*'счеталка премий'!$T$6,IF(AND(E133=TRUE,F133=TRUE),'Расчет участников НИР'!$H143*(50%/3),'Расчет участников НИР'!$H143*(50%/2)))),0)</f>
        <v>0</v>
      </c>
      <c r="I133" s="741">
        <f>IF(E133=TRUE,IF(D133=FALSE,'Расчет участников НИР'!$H143*(10%),IF(F133=FALSE,'Расчет участников НИР'!$H143*(50%/2),IF(AND(F133=TRUE,G133=TRUE),'Расчет участников НИР'!$H143*'счеталка премий'!$T$6,'Расчет участников НИР'!$H143*(50%/3)))),0)</f>
        <v>0</v>
      </c>
      <c r="J133" s="741">
        <f>IF(F133=TRUE,IF(AND(D133=FALSE,E133=FALSE),'Расчет участников НИР'!$H143*(20%),IF(D133=FALSE,'Расчет участников НИР'!$H143*(10%),IF(G133=FALSE,'Расчет участников НИР'!$H143*(50%/3),'Расчет участников НИР'!$H143*'счеталка премий'!$T$6))),0)</f>
        <v>0</v>
      </c>
      <c r="K133" s="741">
        <f>IF(G133=TRUE,IF(AND(D133=FALSE,E133=FALSE,F133=FALSE),'Расчет участников НИР'!$H143*(50%),'Расчет участников НИР'!$H143*'счеталка премий'!$T$7),0)</f>
        <v>0</v>
      </c>
      <c r="L133" s="741">
        <f t="shared" si="13"/>
        <v>0</v>
      </c>
      <c r="M133" s="741">
        <f>'Расчет участников НИР'!H143</f>
        <v>0</v>
      </c>
      <c r="O133" s="747" t="e">
        <f t="shared" si="15"/>
        <v>#DIV/0!</v>
      </c>
      <c r="P133" s="747" t="e">
        <f t="shared" si="15"/>
        <v>#DIV/0!</v>
      </c>
      <c r="Q133" s="747" t="e">
        <f t="shared" si="15"/>
        <v>#DIV/0!</v>
      </c>
      <c r="R133" s="747" t="e">
        <f t="shared" si="14"/>
        <v>#DIV/0!</v>
      </c>
    </row>
    <row r="134" spans="1:18" x14ac:dyDescent="0.25">
      <c r="A134" s="745">
        <f>'Состав ВТК'!B137</f>
        <v>0</v>
      </c>
      <c r="B134" s="739">
        <f>'Состав ВТК'!L137</f>
        <v>0</v>
      </c>
      <c r="C134" s="739">
        <f>'Состав ВТК'!M137</f>
        <v>0</v>
      </c>
      <c r="D134" s="746" t="b">
        <f t="shared" si="9"/>
        <v>0</v>
      </c>
      <c r="E134" s="746" t="b">
        <f t="shared" si="10"/>
        <v>0</v>
      </c>
      <c r="F134" s="746" t="b">
        <f t="shared" si="11"/>
        <v>0</v>
      </c>
      <c r="G134" s="746" t="b">
        <f t="shared" si="12"/>
        <v>0</v>
      </c>
      <c r="H134" s="741">
        <f>IF(D134=TRUE,IF(E134=FALSE,'Расчет участников НИР'!$H144*(50%/1),IF(AND(E134=TRUE,F134=TRUE,G134=TRUE),'Расчет участников НИР'!$H144*'счеталка премий'!$T$6,IF(AND(E134=TRUE,F134=TRUE),'Расчет участников НИР'!$H144*(50%/3),'Расчет участников НИР'!$H144*(50%/2)))),0)</f>
        <v>0</v>
      </c>
      <c r="I134" s="741">
        <f>IF(E134=TRUE,IF(D134=FALSE,'Расчет участников НИР'!$H144*(10%),IF(F134=FALSE,'Расчет участников НИР'!$H144*(50%/2),IF(AND(F134=TRUE,G134=TRUE),'Расчет участников НИР'!$H144*'счеталка премий'!$T$6,'Расчет участников НИР'!$H144*(50%/3)))),0)</f>
        <v>0</v>
      </c>
      <c r="J134" s="741">
        <f>IF(F134=TRUE,IF(AND(D134=FALSE,E134=FALSE),'Расчет участников НИР'!$H144*(20%),IF(D134=FALSE,'Расчет участников НИР'!$H144*(10%),IF(G134=FALSE,'Расчет участников НИР'!$H144*(50%/3),'Расчет участников НИР'!$H144*'счеталка премий'!$T$6))),0)</f>
        <v>0</v>
      </c>
      <c r="K134" s="741">
        <f>IF(G134=TRUE,IF(AND(D134=FALSE,E134=FALSE,F134=FALSE),'Расчет участников НИР'!$H144*(50%),'Расчет участников НИР'!$H144*'счеталка премий'!$T$7),0)</f>
        <v>0</v>
      </c>
      <c r="L134" s="741">
        <f t="shared" si="13"/>
        <v>0</v>
      </c>
      <c r="M134" s="741">
        <f>'Расчет участников НИР'!H144</f>
        <v>0</v>
      </c>
      <c r="O134" s="747" t="e">
        <f t="shared" si="15"/>
        <v>#DIV/0!</v>
      </c>
      <c r="P134" s="747" t="e">
        <f t="shared" si="15"/>
        <v>#DIV/0!</v>
      </c>
      <c r="Q134" s="747" t="e">
        <f t="shared" si="15"/>
        <v>#DIV/0!</v>
      </c>
      <c r="R134" s="747" t="e">
        <f t="shared" si="14"/>
        <v>#DIV/0!</v>
      </c>
    </row>
    <row r="135" spans="1:18" x14ac:dyDescent="0.25">
      <c r="A135" s="745">
        <f>'Состав ВТК'!B138</f>
        <v>0</v>
      </c>
      <c r="B135" s="739">
        <f>'Состав ВТК'!L138</f>
        <v>0</v>
      </c>
      <c r="C135" s="739">
        <f>'Состав ВТК'!M138</f>
        <v>0</v>
      </c>
      <c r="D135" s="746" t="b">
        <f t="shared" ref="D135:D191" si="16">AND($C135&gt;=$D$5,$B135&lt;=$D$5)</f>
        <v>0</v>
      </c>
      <c r="E135" s="746" t="b">
        <f t="shared" ref="E135:E191" si="17">AND($C135&gt;=$E$5,$B135&lt;=$E$5)</f>
        <v>0</v>
      </c>
      <c r="F135" s="746" t="b">
        <f t="shared" ref="F135:F191" si="18">AND($C135&gt;=$F$5,$B135&lt;=$F$5)</f>
        <v>0</v>
      </c>
      <c r="G135" s="746" t="b">
        <f t="shared" ref="G135:G191" si="19">AND($C135&gt;=$G$5,$B135&lt;=$G$5)</f>
        <v>0</v>
      </c>
      <c r="H135" s="741">
        <f>IF(D135=TRUE,IF(E135=FALSE,'Расчет участников НИР'!$H145*(50%/1),IF(AND(E135=TRUE,F135=TRUE,G135=TRUE),'Расчет участников НИР'!$H145*'счеталка премий'!$T$6,IF(AND(E135=TRUE,F135=TRUE),'Расчет участников НИР'!$H145*(50%/3),'Расчет участников НИР'!$H145*(50%/2)))),0)</f>
        <v>0</v>
      </c>
      <c r="I135" s="741">
        <f>IF(E135=TRUE,IF(D135=FALSE,'Расчет участников НИР'!$H145*(10%),IF(F135=FALSE,'Расчет участников НИР'!$H145*(50%/2),IF(AND(F135=TRUE,G135=TRUE),'Расчет участников НИР'!$H145*'счеталка премий'!$T$6,'Расчет участников НИР'!$H145*(50%/3)))),0)</f>
        <v>0</v>
      </c>
      <c r="J135" s="741">
        <f>IF(F135=TRUE,IF(AND(D135=FALSE,E135=FALSE),'Расчет участников НИР'!$H145*(20%),IF(D135=FALSE,'Расчет участников НИР'!$H145*(10%),IF(G135=FALSE,'Расчет участников НИР'!$H145*(50%/3),'Расчет участников НИР'!$H145*'счеталка премий'!$T$6))),0)</f>
        <v>0</v>
      </c>
      <c r="K135" s="741">
        <f>IF(G135=TRUE,IF(AND(D135=FALSE,E135=FALSE,F135=FALSE),'Расчет участников НИР'!$H145*(50%),'Расчет участников НИР'!$H145*'счеталка премий'!$T$7),0)</f>
        <v>0</v>
      </c>
      <c r="L135" s="741">
        <f t="shared" si="13"/>
        <v>0</v>
      </c>
      <c r="M135" s="741">
        <f>'Расчет участников НИР'!H145</f>
        <v>0</v>
      </c>
      <c r="O135" s="747" t="e">
        <f t="shared" si="15"/>
        <v>#DIV/0!</v>
      </c>
      <c r="P135" s="747" t="e">
        <f t="shared" si="15"/>
        <v>#DIV/0!</v>
      </c>
      <c r="Q135" s="747" t="e">
        <f t="shared" si="15"/>
        <v>#DIV/0!</v>
      </c>
      <c r="R135" s="747" t="e">
        <f t="shared" si="14"/>
        <v>#DIV/0!</v>
      </c>
    </row>
    <row r="136" spans="1:18" x14ac:dyDescent="0.25">
      <c r="A136" s="745">
        <f>'Состав ВТК'!B139</f>
        <v>0</v>
      </c>
      <c r="B136" s="739">
        <f>'Состав ВТК'!L139</f>
        <v>0</v>
      </c>
      <c r="C136" s="739">
        <f>'Состав ВТК'!M139</f>
        <v>0</v>
      </c>
      <c r="D136" s="746" t="b">
        <f t="shared" si="16"/>
        <v>0</v>
      </c>
      <c r="E136" s="746" t="b">
        <f t="shared" si="17"/>
        <v>0</v>
      </c>
      <c r="F136" s="746" t="b">
        <f t="shared" si="18"/>
        <v>0</v>
      </c>
      <c r="G136" s="746" t="b">
        <f t="shared" si="19"/>
        <v>0</v>
      </c>
      <c r="H136" s="741">
        <f>IF(D136=TRUE,IF(E136=FALSE,'Расчет участников НИР'!$H146*(50%/1),IF(AND(E136=TRUE,F136=TRUE,G136=TRUE),'Расчет участников НИР'!$H146*'счеталка премий'!$T$6,IF(AND(E136=TRUE,F136=TRUE),'Расчет участников НИР'!$H146*(50%/3),'Расчет участников НИР'!$H146*(50%/2)))),0)</f>
        <v>0</v>
      </c>
      <c r="I136" s="741">
        <f>IF(E136=TRUE,IF(D136=FALSE,'Расчет участников НИР'!$H146*(10%),IF(F136=FALSE,'Расчет участников НИР'!$H146*(50%/2),IF(AND(F136=TRUE,G136=TRUE),'Расчет участников НИР'!$H146*'счеталка премий'!$T$6,'Расчет участников НИР'!$H146*(50%/3)))),0)</f>
        <v>0</v>
      </c>
      <c r="J136" s="741">
        <f>IF(F136=TRUE,IF(AND(D136=FALSE,E136=FALSE),'Расчет участников НИР'!$H146*(20%),IF(D136=FALSE,'Расчет участников НИР'!$H146*(10%),IF(G136=FALSE,'Расчет участников НИР'!$H146*(50%/3),'Расчет участников НИР'!$H146*'счеталка премий'!$T$6))),0)</f>
        <v>0</v>
      </c>
      <c r="K136" s="741">
        <f>IF(G136=TRUE,IF(AND(D136=FALSE,E136=FALSE,F136=FALSE),'Расчет участников НИР'!$H146*(50%),'Расчет участников НИР'!$H146*'счеталка премий'!$T$7),0)</f>
        <v>0</v>
      </c>
      <c r="L136" s="741">
        <f t="shared" si="13"/>
        <v>0</v>
      </c>
      <c r="M136" s="741">
        <f>'Расчет участников НИР'!H146</f>
        <v>0</v>
      </c>
      <c r="O136" s="747" t="e">
        <f t="shared" si="15"/>
        <v>#DIV/0!</v>
      </c>
      <c r="P136" s="747" t="e">
        <f t="shared" si="15"/>
        <v>#DIV/0!</v>
      </c>
      <c r="Q136" s="747" t="e">
        <f t="shared" si="15"/>
        <v>#DIV/0!</v>
      </c>
      <c r="R136" s="747" t="e">
        <f t="shared" si="14"/>
        <v>#DIV/0!</v>
      </c>
    </row>
    <row r="137" spans="1:18" x14ac:dyDescent="0.25">
      <c r="A137" s="745">
        <f>'Состав ВТК'!B140</f>
        <v>0</v>
      </c>
      <c r="B137" s="739">
        <f>'Состав ВТК'!L140</f>
        <v>0</v>
      </c>
      <c r="C137" s="739">
        <f>'Состав ВТК'!M140</f>
        <v>0</v>
      </c>
      <c r="D137" s="746" t="b">
        <f t="shared" si="16"/>
        <v>0</v>
      </c>
      <c r="E137" s="746" t="b">
        <f t="shared" si="17"/>
        <v>0</v>
      </c>
      <c r="F137" s="746" t="b">
        <f t="shared" si="18"/>
        <v>0</v>
      </c>
      <c r="G137" s="746" t="b">
        <f t="shared" si="19"/>
        <v>0</v>
      </c>
      <c r="H137" s="741">
        <f>IF(D137=TRUE,IF(E137=FALSE,'Расчет участников НИР'!$H147*(50%/1),IF(AND(E137=TRUE,F137=TRUE,G137=TRUE),'Расчет участников НИР'!$H147*'счеталка премий'!$T$6,IF(AND(E137=TRUE,F137=TRUE),'Расчет участников НИР'!$H147*(50%/3),'Расчет участников НИР'!$H147*(50%/2)))),0)</f>
        <v>0</v>
      </c>
      <c r="I137" s="741">
        <f>IF(E137=TRUE,IF(D137=FALSE,'Расчет участников НИР'!$H147*(10%),IF(F137=FALSE,'Расчет участников НИР'!$H147*(50%/2),IF(AND(F137=TRUE,G137=TRUE),'Расчет участников НИР'!$H147*'счеталка премий'!$T$6,'Расчет участников НИР'!$H147*(50%/3)))),0)</f>
        <v>0</v>
      </c>
      <c r="J137" s="741">
        <f>IF(F137=TRUE,IF(AND(D137=FALSE,E137=FALSE),'Расчет участников НИР'!$H147*(20%),IF(D137=FALSE,'Расчет участников НИР'!$H147*(10%),IF(G137=FALSE,'Расчет участников НИР'!$H147*(50%/3),'Расчет участников НИР'!$H147*'счеталка премий'!$T$6))),0)</f>
        <v>0</v>
      </c>
      <c r="K137" s="741">
        <f>IF(G137=TRUE,IF(AND(D137=FALSE,E137=FALSE,F137=FALSE),'Расчет участников НИР'!$H147*(50%),'Расчет участников НИР'!$H147*'счеталка премий'!$T$7),0)</f>
        <v>0</v>
      </c>
      <c r="L137" s="741">
        <f t="shared" si="13"/>
        <v>0</v>
      </c>
      <c r="M137" s="741">
        <f>'Расчет участников НИР'!H147</f>
        <v>0</v>
      </c>
      <c r="O137" s="747" t="e">
        <f t="shared" si="15"/>
        <v>#DIV/0!</v>
      </c>
      <c r="P137" s="747" t="e">
        <f t="shared" si="15"/>
        <v>#DIV/0!</v>
      </c>
      <c r="Q137" s="747" t="e">
        <f t="shared" si="15"/>
        <v>#DIV/0!</v>
      </c>
      <c r="R137" s="747" t="e">
        <f t="shared" si="14"/>
        <v>#DIV/0!</v>
      </c>
    </row>
    <row r="138" spans="1:18" x14ac:dyDescent="0.25">
      <c r="A138" s="745">
        <f>'Состав ВТК'!B141</f>
        <v>0</v>
      </c>
      <c r="B138" s="739">
        <f>'Состав ВТК'!L141</f>
        <v>0</v>
      </c>
      <c r="C138" s="739">
        <f>'Состав ВТК'!M141</f>
        <v>0</v>
      </c>
      <c r="D138" s="746" t="b">
        <f t="shared" si="16"/>
        <v>0</v>
      </c>
      <c r="E138" s="746" t="b">
        <f t="shared" si="17"/>
        <v>0</v>
      </c>
      <c r="F138" s="746" t="b">
        <f t="shared" si="18"/>
        <v>0</v>
      </c>
      <c r="G138" s="746" t="b">
        <f t="shared" si="19"/>
        <v>0</v>
      </c>
      <c r="H138" s="741">
        <f>IF(D138=TRUE,IF(E138=FALSE,'Расчет участников НИР'!$H148*(50%/1),IF(AND(E138=TRUE,F138=TRUE,G138=TRUE),'Расчет участников НИР'!$H148*'счеталка премий'!$T$6,IF(AND(E138=TRUE,F138=TRUE),'Расчет участников НИР'!$H148*(50%/3),'Расчет участников НИР'!$H148*(50%/2)))),0)</f>
        <v>0</v>
      </c>
      <c r="I138" s="741">
        <f>IF(E138=TRUE,IF(D138=FALSE,'Расчет участников НИР'!$H148*(10%),IF(F138=FALSE,'Расчет участников НИР'!$H148*(50%/2),IF(AND(F138=TRUE,G138=TRUE),'Расчет участников НИР'!$H148*'счеталка премий'!$T$6,'Расчет участников НИР'!$H148*(50%/3)))),0)</f>
        <v>0</v>
      </c>
      <c r="J138" s="741">
        <f>IF(F138=TRUE,IF(AND(D138=FALSE,E138=FALSE),'Расчет участников НИР'!$H148*(20%),IF(D138=FALSE,'Расчет участников НИР'!$H148*(10%),IF(G138=FALSE,'Расчет участников НИР'!$H148*(50%/3),'Расчет участников НИР'!$H148*'счеталка премий'!$T$6))),0)</f>
        <v>0</v>
      </c>
      <c r="K138" s="741">
        <f>IF(G138=TRUE,IF(AND(D138=FALSE,E138=FALSE,F138=FALSE),'Расчет участников НИР'!$H148*(50%),'Расчет участников НИР'!$H148*'счеталка премий'!$T$7),0)</f>
        <v>0</v>
      </c>
      <c r="L138" s="741">
        <f t="shared" si="13"/>
        <v>0</v>
      </c>
      <c r="M138" s="741">
        <f>'Расчет участников НИР'!H148</f>
        <v>0</v>
      </c>
      <c r="O138" s="747" t="e">
        <f t="shared" si="15"/>
        <v>#DIV/0!</v>
      </c>
      <c r="P138" s="747" t="e">
        <f t="shared" si="15"/>
        <v>#DIV/0!</v>
      </c>
      <c r="Q138" s="747" t="e">
        <f t="shared" si="15"/>
        <v>#DIV/0!</v>
      </c>
      <c r="R138" s="747" t="e">
        <f t="shared" si="14"/>
        <v>#DIV/0!</v>
      </c>
    </row>
    <row r="139" spans="1:18" x14ac:dyDescent="0.25">
      <c r="A139" s="745">
        <f>'Состав ВТК'!B142</f>
        <v>0</v>
      </c>
      <c r="B139" s="739">
        <f>'Состав ВТК'!L142</f>
        <v>0</v>
      </c>
      <c r="C139" s="739">
        <f>'Состав ВТК'!M142</f>
        <v>0</v>
      </c>
      <c r="D139" s="746" t="b">
        <f t="shared" si="16"/>
        <v>0</v>
      </c>
      <c r="E139" s="746" t="b">
        <f t="shared" si="17"/>
        <v>0</v>
      </c>
      <c r="F139" s="746" t="b">
        <f t="shared" si="18"/>
        <v>0</v>
      </c>
      <c r="G139" s="746" t="b">
        <f t="shared" si="19"/>
        <v>0</v>
      </c>
      <c r="H139" s="741">
        <f>IF(D139=TRUE,IF(E139=FALSE,'Расчет участников НИР'!$H149*(50%/1),IF(AND(E139=TRUE,F139=TRUE,G139=TRUE),'Расчет участников НИР'!$H149*'счеталка премий'!$T$6,IF(AND(E139=TRUE,F139=TRUE),'Расчет участников НИР'!$H149*(50%/3),'Расчет участников НИР'!$H149*(50%/2)))),0)</f>
        <v>0</v>
      </c>
      <c r="I139" s="741">
        <f>IF(E139=TRUE,IF(D139=FALSE,'Расчет участников НИР'!$H149*(10%),IF(F139=FALSE,'Расчет участников НИР'!$H149*(50%/2),IF(AND(F139=TRUE,G139=TRUE),'Расчет участников НИР'!$H149*'счеталка премий'!$T$6,'Расчет участников НИР'!$H149*(50%/3)))),0)</f>
        <v>0</v>
      </c>
      <c r="J139" s="741">
        <f>IF(F139=TRUE,IF(AND(D139=FALSE,E139=FALSE),'Расчет участников НИР'!$H149*(20%),IF(D139=FALSE,'Расчет участников НИР'!$H149*(10%),IF(G139=FALSE,'Расчет участников НИР'!$H149*(50%/3),'Расчет участников НИР'!$H149*'счеталка премий'!$T$6))),0)</f>
        <v>0</v>
      </c>
      <c r="K139" s="741">
        <f>IF(G139=TRUE,IF(AND(D139=FALSE,E139=FALSE,F139=FALSE),'Расчет участников НИР'!$H149*(50%),'Расчет участников НИР'!$H149*'счеталка премий'!$T$7),0)</f>
        <v>0</v>
      </c>
      <c r="L139" s="741">
        <f t="shared" si="13"/>
        <v>0</v>
      </c>
      <c r="M139" s="741">
        <f>'Расчет участников НИР'!H149</f>
        <v>0</v>
      </c>
      <c r="O139" s="747" t="e">
        <f t="shared" si="15"/>
        <v>#DIV/0!</v>
      </c>
      <c r="P139" s="747" t="e">
        <f t="shared" si="15"/>
        <v>#DIV/0!</v>
      </c>
      <c r="Q139" s="747" t="e">
        <f t="shared" si="15"/>
        <v>#DIV/0!</v>
      </c>
      <c r="R139" s="747" t="e">
        <f t="shared" si="14"/>
        <v>#DIV/0!</v>
      </c>
    </row>
    <row r="140" spans="1:18" x14ac:dyDescent="0.25">
      <c r="A140" s="745">
        <f>'Состав ВТК'!B143</f>
        <v>0</v>
      </c>
      <c r="B140" s="739">
        <f>'Состав ВТК'!L143</f>
        <v>0</v>
      </c>
      <c r="C140" s="739">
        <f>'Состав ВТК'!M143</f>
        <v>0</v>
      </c>
      <c r="D140" s="746" t="b">
        <f t="shared" si="16"/>
        <v>0</v>
      </c>
      <c r="E140" s="746" t="b">
        <f t="shared" si="17"/>
        <v>0</v>
      </c>
      <c r="F140" s="746" t="b">
        <f t="shared" si="18"/>
        <v>0</v>
      </c>
      <c r="G140" s="746" t="b">
        <f t="shared" si="19"/>
        <v>0</v>
      </c>
      <c r="H140" s="741">
        <f>IF(D140=TRUE,IF(E140=FALSE,'Расчет участников НИР'!$H150*(50%/1),IF(AND(E140=TRUE,F140=TRUE,G140=TRUE),'Расчет участников НИР'!$H150*'счеталка премий'!$T$6,IF(AND(E140=TRUE,F140=TRUE),'Расчет участников НИР'!$H150*(50%/3),'Расчет участников НИР'!$H150*(50%/2)))),0)</f>
        <v>0</v>
      </c>
      <c r="I140" s="741">
        <f>IF(E140=TRUE,IF(D140=FALSE,'Расчет участников НИР'!$H150*(10%),IF(F140=FALSE,'Расчет участников НИР'!$H150*(50%/2),IF(AND(F140=TRUE,G140=TRUE),'Расчет участников НИР'!$H150*'счеталка премий'!$T$6,'Расчет участников НИР'!$H150*(50%/3)))),0)</f>
        <v>0</v>
      </c>
      <c r="J140" s="741">
        <f>IF(F140=TRUE,IF(AND(D140=FALSE,E140=FALSE),'Расчет участников НИР'!$H150*(20%),IF(D140=FALSE,'Расчет участников НИР'!$H150*(10%),IF(G140=FALSE,'Расчет участников НИР'!$H150*(50%/3),'Расчет участников НИР'!$H150*'счеталка премий'!$T$6))),0)</f>
        <v>0</v>
      </c>
      <c r="K140" s="741">
        <f>IF(G140=TRUE,IF(AND(D140=FALSE,E140=FALSE,F140=FALSE),'Расчет участников НИР'!$H150*(50%),'Расчет участников НИР'!$H150*'счеталка премий'!$T$7),0)</f>
        <v>0</v>
      </c>
      <c r="L140" s="741">
        <f t="shared" si="13"/>
        <v>0</v>
      </c>
      <c r="M140" s="741">
        <f>'Расчет участников НИР'!H150</f>
        <v>0</v>
      </c>
      <c r="O140" s="747" t="e">
        <f t="shared" si="15"/>
        <v>#DIV/0!</v>
      </c>
      <c r="P140" s="747" t="e">
        <f t="shared" si="15"/>
        <v>#DIV/0!</v>
      </c>
      <c r="Q140" s="747" t="e">
        <f t="shared" si="15"/>
        <v>#DIV/0!</v>
      </c>
      <c r="R140" s="747" t="e">
        <f t="shared" si="14"/>
        <v>#DIV/0!</v>
      </c>
    </row>
    <row r="141" spans="1:18" x14ac:dyDescent="0.25">
      <c r="A141" s="745">
        <f>'Состав ВТК'!B144</f>
        <v>0</v>
      </c>
      <c r="B141" s="739">
        <f>'Состав ВТК'!L144</f>
        <v>0</v>
      </c>
      <c r="C141" s="739">
        <f>'Состав ВТК'!M144</f>
        <v>0</v>
      </c>
      <c r="D141" s="746" t="b">
        <f t="shared" si="16"/>
        <v>0</v>
      </c>
      <c r="E141" s="746" t="b">
        <f t="shared" si="17"/>
        <v>0</v>
      </c>
      <c r="F141" s="746" t="b">
        <f t="shared" si="18"/>
        <v>0</v>
      </c>
      <c r="G141" s="746" t="b">
        <f t="shared" si="19"/>
        <v>0</v>
      </c>
      <c r="H141" s="741">
        <f>IF(D141=TRUE,IF(E141=FALSE,'Расчет участников НИР'!$H151*(50%/1),IF(AND(E141=TRUE,F141=TRUE,G141=TRUE),'Расчет участников НИР'!$H151*'счеталка премий'!$T$6,IF(AND(E141=TRUE,F141=TRUE),'Расчет участников НИР'!$H151*(50%/3),'Расчет участников НИР'!$H151*(50%/2)))),0)</f>
        <v>0</v>
      </c>
      <c r="I141" s="741">
        <f>IF(E141=TRUE,IF(D141=FALSE,'Расчет участников НИР'!$H151*(10%),IF(F141=FALSE,'Расчет участников НИР'!$H151*(50%/2),IF(AND(F141=TRUE,G141=TRUE),'Расчет участников НИР'!$H151*'счеталка премий'!$T$6,'Расчет участников НИР'!$H151*(50%/3)))),0)</f>
        <v>0</v>
      </c>
      <c r="J141" s="741">
        <f>IF(F141=TRUE,IF(AND(D141=FALSE,E141=FALSE),'Расчет участников НИР'!$H151*(20%),IF(D141=FALSE,'Расчет участников НИР'!$H151*(10%),IF(G141=FALSE,'Расчет участников НИР'!$H151*(50%/3),'Расчет участников НИР'!$H151*'счеталка премий'!$T$6))),0)</f>
        <v>0</v>
      </c>
      <c r="K141" s="741">
        <f>IF(G141=TRUE,IF(AND(D141=FALSE,E141=FALSE,F141=FALSE),'Расчет участников НИР'!$H151*(50%),'Расчет участников НИР'!$H151*'счеталка премий'!$T$7),0)</f>
        <v>0</v>
      </c>
      <c r="L141" s="741">
        <f t="shared" si="13"/>
        <v>0</v>
      </c>
      <c r="M141" s="741">
        <f>'Расчет участников НИР'!H151</f>
        <v>0</v>
      </c>
      <c r="O141" s="747" t="e">
        <f t="shared" si="15"/>
        <v>#DIV/0!</v>
      </c>
      <c r="P141" s="747" t="e">
        <f t="shared" si="15"/>
        <v>#DIV/0!</v>
      </c>
      <c r="Q141" s="747" t="e">
        <f t="shared" si="15"/>
        <v>#DIV/0!</v>
      </c>
      <c r="R141" s="747" t="e">
        <f t="shared" si="14"/>
        <v>#DIV/0!</v>
      </c>
    </row>
    <row r="142" spans="1:18" x14ac:dyDescent="0.25">
      <c r="A142" s="745">
        <f>'Состав ВТК'!B145</f>
        <v>0</v>
      </c>
      <c r="B142" s="739">
        <f>'Состав ВТК'!L145</f>
        <v>0</v>
      </c>
      <c r="C142" s="739">
        <f>'Состав ВТК'!M145</f>
        <v>0</v>
      </c>
      <c r="D142" s="746" t="b">
        <f t="shared" si="16"/>
        <v>0</v>
      </c>
      <c r="E142" s="746" t="b">
        <f t="shared" si="17"/>
        <v>0</v>
      </c>
      <c r="F142" s="746" t="b">
        <f t="shared" si="18"/>
        <v>0</v>
      </c>
      <c r="G142" s="746" t="b">
        <f t="shared" si="19"/>
        <v>0</v>
      </c>
      <c r="H142" s="741">
        <f>IF(D142=TRUE,IF(E142=FALSE,'Расчет участников НИР'!$H152*(50%/1),IF(AND(E142=TRUE,F142=TRUE,G142=TRUE),'Расчет участников НИР'!$H152*'счеталка премий'!$T$6,IF(AND(E142=TRUE,F142=TRUE),'Расчет участников НИР'!$H152*(50%/3),'Расчет участников НИР'!$H152*(50%/2)))),0)</f>
        <v>0</v>
      </c>
      <c r="I142" s="741">
        <f>IF(E142=TRUE,IF(D142=FALSE,'Расчет участников НИР'!$H152*(10%),IF(F142=FALSE,'Расчет участников НИР'!$H152*(50%/2),IF(AND(F142=TRUE,G142=TRUE),'Расчет участников НИР'!$H152*'счеталка премий'!$T$6,'Расчет участников НИР'!$H152*(50%/3)))),0)</f>
        <v>0</v>
      </c>
      <c r="J142" s="741">
        <f>IF(F142=TRUE,IF(AND(D142=FALSE,E142=FALSE),'Расчет участников НИР'!$H152*(20%),IF(D142=FALSE,'Расчет участников НИР'!$H152*(10%),IF(G142=FALSE,'Расчет участников НИР'!$H152*(50%/3),'Расчет участников НИР'!$H152*'счеталка премий'!$T$6))),0)</f>
        <v>0</v>
      </c>
      <c r="K142" s="741">
        <f>IF(G142=TRUE,IF(AND(D142=FALSE,E142=FALSE,F142=FALSE),'Расчет участников НИР'!$H152*(50%),'Расчет участников НИР'!$H152*'счеталка премий'!$T$7),0)</f>
        <v>0</v>
      </c>
      <c r="L142" s="741">
        <f t="shared" si="13"/>
        <v>0</v>
      </c>
      <c r="M142" s="741">
        <f>'Расчет участников НИР'!H152</f>
        <v>0</v>
      </c>
      <c r="O142" s="747" t="e">
        <f t="shared" si="15"/>
        <v>#DIV/0!</v>
      </c>
      <c r="P142" s="747" t="e">
        <f t="shared" si="15"/>
        <v>#DIV/0!</v>
      </c>
      <c r="Q142" s="747" t="e">
        <f t="shared" si="15"/>
        <v>#DIV/0!</v>
      </c>
      <c r="R142" s="747" t="e">
        <f t="shared" si="14"/>
        <v>#DIV/0!</v>
      </c>
    </row>
    <row r="143" spans="1:18" x14ac:dyDescent="0.25">
      <c r="A143" s="745">
        <f>'Состав ВТК'!B146</f>
        <v>0</v>
      </c>
      <c r="B143" s="739">
        <f>'Состав ВТК'!L146</f>
        <v>0</v>
      </c>
      <c r="C143" s="739">
        <f>'Состав ВТК'!M146</f>
        <v>0</v>
      </c>
      <c r="D143" s="746" t="b">
        <f t="shared" si="16"/>
        <v>0</v>
      </c>
      <c r="E143" s="746" t="b">
        <f t="shared" si="17"/>
        <v>0</v>
      </c>
      <c r="F143" s="746" t="b">
        <f t="shared" si="18"/>
        <v>0</v>
      </c>
      <c r="G143" s="746" t="b">
        <f t="shared" si="19"/>
        <v>0</v>
      </c>
      <c r="H143" s="741">
        <f>IF(D143=TRUE,IF(E143=FALSE,'Расчет участников НИР'!$H153*(50%/1),IF(AND(E143=TRUE,F143=TRUE,G143=TRUE),'Расчет участников НИР'!$H153*'счеталка премий'!$T$6,IF(AND(E143=TRUE,F143=TRUE),'Расчет участников НИР'!$H153*(50%/3),'Расчет участников НИР'!$H153*(50%/2)))),0)</f>
        <v>0</v>
      </c>
      <c r="I143" s="741">
        <f>IF(E143=TRUE,IF(D143=FALSE,'Расчет участников НИР'!$H153*(10%),IF(F143=FALSE,'Расчет участников НИР'!$H153*(50%/2),IF(AND(F143=TRUE,G143=TRUE),'Расчет участников НИР'!$H153*'счеталка премий'!$T$6,'Расчет участников НИР'!$H153*(50%/3)))),0)</f>
        <v>0</v>
      </c>
      <c r="J143" s="741">
        <f>IF(F143=TRUE,IF(AND(D143=FALSE,E143=FALSE),'Расчет участников НИР'!$H153*(20%),IF(D143=FALSE,'Расчет участников НИР'!$H153*(10%),IF(G143=FALSE,'Расчет участников НИР'!$H153*(50%/3),'Расчет участников НИР'!$H153*'счеталка премий'!$T$6))),0)</f>
        <v>0</v>
      </c>
      <c r="K143" s="741">
        <f>IF(G143=TRUE,IF(AND(D143=FALSE,E143=FALSE,F143=FALSE),'Расчет участников НИР'!$H153*(50%),'Расчет участников НИР'!$H153*'счеталка премий'!$T$7),0)</f>
        <v>0</v>
      </c>
      <c r="L143" s="741">
        <f t="shared" si="13"/>
        <v>0</v>
      </c>
      <c r="M143" s="741">
        <f>'Расчет участников НИР'!H153</f>
        <v>0</v>
      </c>
      <c r="O143" s="747" t="e">
        <f t="shared" si="15"/>
        <v>#DIV/0!</v>
      </c>
      <c r="P143" s="747" t="e">
        <f t="shared" si="15"/>
        <v>#DIV/0!</v>
      </c>
      <c r="Q143" s="747" t="e">
        <f t="shared" si="15"/>
        <v>#DIV/0!</v>
      </c>
      <c r="R143" s="747" t="e">
        <f t="shared" si="14"/>
        <v>#DIV/0!</v>
      </c>
    </row>
    <row r="144" spans="1:18" x14ac:dyDescent="0.25">
      <c r="A144" s="745">
        <f>'Состав ВТК'!B147</f>
        <v>0</v>
      </c>
      <c r="B144" s="739">
        <f>'Состав ВТК'!L147</f>
        <v>0</v>
      </c>
      <c r="C144" s="739">
        <f>'Состав ВТК'!M147</f>
        <v>0</v>
      </c>
      <c r="D144" s="746" t="b">
        <f t="shared" si="16"/>
        <v>0</v>
      </c>
      <c r="E144" s="746" t="b">
        <f t="shared" si="17"/>
        <v>0</v>
      </c>
      <c r="F144" s="746" t="b">
        <f t="shared" si="18"/>
        <v>0</v>
      </c>
      <c r="G144" s="746" t="b">
        <f t="shared" si="19"/>
        <v>0</v>
      </c>
      <c r="H144" s="741">
        <f>IF(D144=TRUE,IF(E144=FALSE,'Расчет участников НИР'!$H154*(50%/1),IF(AND(E144=TRUE,F144=TRUE,G144=TRUE),'Расчет участников НИР'!$H154*'счеталка премий'!$T$6,IF(AND(E144=TRUE,F144=TRUE),'Расчет участников НИР'!$H154*(50%/3),'Расчет участников НИР'!$H154*(50%/2)))),0)</f>
        <v>0</v>
      </c>
      <c r="I144" s="741">
        <f>IF(E144=TRUE,IF(D144=FALSE,'Расчет участников НИР'!$H154*(10%),IF(F144=FALSE,'Расчет участников НИР'!$H154*(50%/2),IF(AND(F144=TRUE,G144=TRUE),'Расчет участников НИР'!$H154*'счеталка премий'!$T$6,'Расчет участников НИР'!$H154*(50%/3)))),0)</f>
        <v>0</v>
      </c>
      <c r="J144" s="741">
        <f>IF(F144=TRUE,IF(AND(D144=FALSE,E144=FALSE),'Расчет участников НИР'!$H154*(20%),IF(D144=FALSE,'Расчет участников НИР'!$H154*(10%),IF(G144=FALSE,'Расчет участников НИР'!$H154*(50%/3),'Расчет участников НИР'!$H154*'счеталка премий'!$T$6))),0)</f>
        <v>0</v>
      </c>
      <c r="K144" s="741">
        <f>IF(G144=TRUE,IF(AND(D144=FALSE,E144=FALSE,F144=FALSE),'Расчет участников НИР'!$H154*(50%),'Расчет участников НИР'!$H154*'счеталка премий'!$T$7),0)</f>
        <v>0</v>
      </c>
      <c r="L144" s="741">
        <f t="shared" si="13"/>
        <v>0</v>
      </c>
      <c r="M144" s="741">
        <f>'Расчет участников НИР'!H154</f>
        <v>0</v>
      </c>
      <c r="O144" s="747" t="e">
        <f t="shared" si="15"/>
        <v>#DIV/0!</v>
      </c>
      <c r="P144" s="747" t="e">
        <f t="shared" si="15"/>
        <v>#DIV/0!</v>
      </c>
      <c r="Q144" s="747" t="e">
        <f t="shared" si="15"/>
        <v>#DIV/0!</v>
      </c>
      <c r="R144" s="747" t="e">
        <f t="shared" si="14"/>
        <v>#DIV/0!</v>
      </c>
    </row>
    <row r="145" spans="1:18" x14ac:dyDescent="0.25">
      <c r="A145" s="745">
        <f>'Состав ВТК'!B148</f>
        <v>0</v>
      </c>
      <c r="B145" s="739">
        <f>'Состав ВТК'!L148</f>
        <v>0</v>
      </c>
      <c r="C145" s="739">
        <f>'Состав ВТК'!M148</f>
        <v>0</v>
      </c>
      <c r="D145" s="746" t="b">
        <f t="shared" si="16"/>
        <v>0</v>
      </c>
      <c r="E145" s="746" t="b">
        <f t="shared" si="17"/>
        <v>0</v>
      </c>
      <c r="F145" s="746" t="b">
        <f t="shared" si="18"/>
        <v>0</v>
      </c>
      <c r="G145" s="746" t="b">
        <f t="shared" si="19"/>
        <v>0</v>
      </c>
      <c r="H145" s="741">
        <f>IF(D145=TRUE,IF(E145=FALSE,'Расчет участников НИР'!$H155*(50%/1),IF(AND(E145=TRUE,F145=TRUE,G145=TRUE),'Расчет участников НИР'!$H155*'счеталка премий'!$T$6,IF(AND(E145=TRUE,F145=TRUE),'Расчет участников НИР'!$H155*(50%/3),'Расчет участников НИР'!$H155*(50%/2)))),0)</f>
        <v>0</v>
      </c>
      <c r="I145" s="741">
        <f>IF(E145=TRUE,IF(D145=FALSE,'Расчет участников НИР'!$H155*(10%),IF(F145=FALSE,'Расчет участников НИР'!$H155*(50%/2),IF(AND(F145=TRUE,G145=TRUE),'Расчет участников НИР'!$H155*'счеталка премий'!$T$6,'Расчет участников НИР'!$H155*(50%/3)))),0)</f>
        <v>0</v>
      </c>
      <c r="J145" s="741">
        <f>IF(F145=TRUE,IF(AND(D145=FALSE,E145=FALSE),'Расчет участников НИР'!$H155*(20%),IF(D145=FALSE,'Расчет участников НИР'!$H155*(10%),IF(G145=FALSE,'Расчет участников НИР'!$H155*(50%/3),'Расчет участников НИР'!$H155*'счеталка премий'!$T$6))),0)</f>
        <v>0</v>
      </c>
      <c r="K145" s="741">
        <f>IF(G145=TRUE,IF(AND(D145=FALSE,E145=FALSE,F145=FALSE),'Расчет участников НИР'!$H155*(50%),'Расчет участников НИР'!$H155*'счеталка премий'!$T$7),0)</f>
        <v>0</v>
      </c>
      <c r="L145" s="741">
        <f t="shared" si="13"/>
        <v>0</v>
      </c>
      <c r="M145" s="741">
        <f>'Расчет участников НИР'!H155</f>
        <v>0</v>
      </c>
      <c r="O145" s="747" t="e">
        <f t="shared" si="15"/>
        <v>#DIV/0!</v>
      </c>
      <c r="P145" s="747" t="e">
        <f t="shared" si="15"/>
        <v>#DIV/0!</v>
      </c>
      <c r="Q145" s="747" t="e">
        <f t="shared" si="15"/>
        <v>#DIV/0!</v>
      </c>
      <c r="R145" s="747" t="e">
        <f t="shared" si="14"/>
        <v>#DIV/0!</v>
      </c>
    </row>
    <row r="146" spans="1:18" x14ac:dyDescent="0.25">
      <c r="A146" s="745">
        <f>'Состав ВТК'!B149</f>
        <v>0</v>
      </c>
      <c r="B146" s="739">
        <f>'Состав ВТК'!L149</f>
        <v>0</v>
      </c>
      <c r="C146" s="739">
        <f>'Состав ВТК'!M149</f>
        <v>0</v>
      </c>
      <c r="D146" s="746" t="b">
        <f t="shared" si="16"/>
        <v>0</v>
      </c>
      <c r="E146" s="746" t="b">
        <f t="shared" si="17"/>
        <v>0</v>
      </c>
      <c r="F146" s="746" t="b">
        <f t="shared" si="18"/>
        <v>0</v>
      </c>
      <c r="G146" s="746" t="b">
        <f t="shared" si="19"/>
        <v>0</v>
      </c>
      <c r="H146" s="741">
        <f>IF(D146=TRUE,IF(E146=FALSE,'Расчет участников НИР'!$H156*(50%/1),IF(AND(E146=TRUE,F146=TRUE,G146=TRUE),'Расчет участников НИР'!$H156*'счеталка премий'!$T$6,IF(AND(E146=TRUE,F146=TRUE),'Расчет участников НИР'!$H156*(50%/3),'Расчет участников НИР'!$H156*(50%/2)))),0)</f>
        <v>0</v>
      </c>
      <c r="I146" s="741">
        <f>IF(E146=TRUE,IF(D146=FALSE,'Расчет участников НИР'!$H156*(10%),IF(F146=FALSE,'Расчет участников НИР'!$H156*(50%/2),IF(AND(F146=TRUE,G146=TRUE),'Расчет участников НИР'!$H156*'счеталка премий'!$T$6,'Расчет участников НИР'!$H156*(50%/3)))),0)</f>
        <v>0</v>
      </c>
      <c r="J146" s="741">
        <f>IF(F146=TRUE,IF(AND(D146=FALSE,E146=FALSE),'Расчет участников НИР'!$H156*(20%),IF(D146=FALSE,'Расчет участников НИР'!$H156*(10%),IF(G146=FALSE,'Расчет участников НИР'!$H156*(50%/3),'Расчет участников НИР'!$H156*'счеталка премий'!$T$6))),0)</f>
        <v>0</v>
      </c>
      <c r="K146" s="741">
        <f>IF(G146=TRUE,IF(AND(D146=FALSE,E146=FALSE,F146=FALSE),'Расчет участников НИР'!$H156*(50%),'Расчет участников НИР'!$H156*'счеталка премий'!$T$7),0)</f>
        <v>0</v>
      </c>
      <c r="L146" s="741">
        <f t="shared" si="13"/>
        <v>0</v>
      </c>
      <c r="M146" s="741">
        <f>'Расчет участников НИР'!H156</f>
        <v>0</v>
      </c>
      <c r="O146" s="747" t="e">
        <f t="shared" si="15"/>
        <v>#DIV/0!</v>
      </c>
      <c r="P146" s="747" t="e">
        <f t="shared" si="15"/>
        <v>#DIV/0!</v>
      </c>
      <c r="Q146" s="747" t="e">
        <f t="shared" si="15"/>
        <v>#DIV/0!</v>
      </c>
      <c r="R146" s="747" t="e">
        <f t="shared" si="14"/>
        <v>#DIV/0!</v>
      </c>
    </row>
    <row r="147" spans="1:18" x14ac:dyDescent="0.25">
      <c r="A147" s="745">
        <f>'Состав ВТК'!B150</f>
        <v>0</v>
      </c>
      <c r="B147" s="739">
        <f>'Состав ВТК'!L150</f>
        <v>0</v>
      </c>
      <c r="C147" s="739">
        <f>'Состав ВТК'!M150</f>
        <v>0</v>
      </c>
      <c r="D147" s="746" t="b">
        <f t="shared" si="16"/>
        <v>0</v>
      </c>
      <c r="E147" s="746" t="b">
        <f t="shared" si="17"/>
        <v>0</v>
      </c>
      <c r="F147" s="746" t="b">
        <f t="shared" si="18"/>
        <v>0</v>
      </c>
      <c r="G147" s="746" t="b">
        <f t="shared" si="19"/>
        <v>0</v>
      </c>
      <c r="H147" s="741">
        <f>IF(D147=TRUE,IF(E147=FALSE,'Расчет участников НИР'!$H157*(50%/1),IF(AND(E147=TRUE,F147=TRUE,G147=TRUE),'Расчет участников НИР'!$H157*'счеталка премий'!$T$6,IF(AND(E147=TRUE,F147=TRUE),'Расчет участников НИР'!$H157*(50%/3),'Расчет участников НИР'!$H157*(50%/2)))),0)</f>
        <v>0</v>
      </c>
      <c r="I147" s="741">
        <f>IF(E147=TRUE,IF(D147=FALSE,'Расчет участников НИР'!$H157*(10%),IF(F147=FALSE,'Расчет участников НИР'!$H157*(50%/2),IF(AND(F147=TRUE,G147=TRUE),'Расчет участников НИР'!$H157*'счеталка премий'!$T$6,'Расчет участников НИР'!$H157*(50%/3)))),0)</f>
        <v>0</v>
      </c>
      <c r="J147" s="741">
        <f>IF(F147=TRUE,IF(AND(D147=FALSE,E147=FALSE),'Расчет участников НИР'!$H157*(20%),IF(D147=FALSE,'Расчет участников НИР'!$H157*(10%),IF(G147=FALSE,'Расчет участников НИР'!$H157*(50%/3),'Расчет участников НИР'!$H157*'счеталка премий'!$T$6))),0)</f>
        <v>0</v>
      </c>
      <c r="K147" s="741">
        <f>IF(G147=TRUE,IF(AND(D147=FALSE,E147=FALSE,F147=FALSE),'Расчет участников НИР'!$H157*(50%),'Расчет участников НИР'!$H157*'счеталка премий'!$T$7),0)</f>
        <v>0</v>
      </c>
      <c r="L147" s="741">
        <f t="shared" si="13"/>
        <v>0</v>
      </c>
      <c r="M147" s="741">
        <f>'Расчет участников НИР'!H157</f>
        <v>0</v>
      </c>
      <c r="O147" s="747" t="e">
        <f t="shared" si="15"/>
        <v>#DIV/0!</v>
      </c>
      <c r="P147" s="747" t="e">
        <f t="shared" si="15"/>
        <v>#DIV/0!</v>
      </c>
      <c r="Q147" s="747" t="e">
        <f t="shared" si="15"/>
        <v>#DIV/0!</v>
      </c>
      <c r="R147" s="747" t="e">
        <f t="shared" si="14"/>
        <v>#DIV/0!</v>
      </c>
    </row>
    <row r="148" spans="1:18" x14ac:dyDescent="0.25">
      <c r="A148" s="745">
        <f>'Состав ВТК'!B151</f>
        <v>0</v>
      </c>
      <c r="B148" s="739">
        <f>'Состав ВТК'!L151</f>
        <v>0</v>
      </c>
      <c r="C148" s="739">
        <f>'Состав ВТК'!M151</f>
        <v>0</v>
      </c>
      <c r="D148" s="746" t="b">
        <f t="shared" si="16"/>
        <v>0</v>
      </c>
      <c r="E148" s="746" t="b">
        <f t="shared" si="17"/>
        <v>0</v>
      </c>
      <c r="F148" s="746" t="b">
        <f t="shared" si="18"/>
        <v>0</v>
      </c>
      <c r="G148" s="746" t="b">
        <f t="shared" si="19"/>
        <v>0</v>
      </c>
      <c r="H148" s="741">
        <f>IF(D148=TRUE,IF(E148=FALSE,'Расчет участников НИР'!$H158*(50%/1),IF(AND(E148=TRUE,F148=TRUE,G148=TRUE),'Расчет участников НИР'!$H158*'счеталка премий'!$T$6,IF(AND(E148=TRUE,F148=TRUE),'Расчет участников НИР'!$H158*(50%/3),'Расчет участников НИР'!$H158*(50%/2)))),0)</f>
        <v>0</v>
      </c>
      <c r="I148" s="741">
        <f>IF(E148=TRUE,IF(D148=FALSE,'Расчет участников НИР'!$H158*(10%),IF(F148=FALSE,'Расчет участников НИР'!$H158*(50%/2),IF(AND(F148=TRUE,G148=TRUE),'Расчет участников НИР'!$H158*'счеталка премий'!$T$6,'Расчет участников НИР'!$H158*(50%/3)))),0)</f>
        <v>0</v>
      </c>
      <c r="J148" s="741">
        <f>IF(F148=TRUE,IF(AND(D148=FALSE,E148=FALSE),'Расчет участников НИР'!$H158*(20%),IF(D148=FALSE,'Расчет участников НИР'!$H158*(10%),IF(G148=FALSE,'Расчет участников НИР'!$H158*(50%/3),'Расчет участников НИР'!$H158*'счеталка премий'!$T$6))),0)</f>
        <v>0</v>
      </c>
      <c r="K148" s="741">
        <f>IF(G148=TRUE,IF(AND(D148=FALSE,E148=FALSE,F148=FALSE),'Расчет участников НИР'!$H158*(50%),'Расчет участников НИР'!$H158*'счеталка премий'!$T$7),0)</f>
        <v>0</v>
      </c>
      <c r="L148" s="741">
        <f t="shared" si="13"/>
        <v>0</v>
      </c>
      <c r="M148" s="741">
        <f>'Расчет участников НИР'!H158</f>
        <v>0</v>
      </c>
      <c r="O148" s="747" t="e">
        <f t="shared" si="15"/>
        <v>#DIV/0!</v>
      </c>
      <c r="P148" s="747" t="e">
        <f t="shared" si="15"/>
        <v>#DIV/0!</v>
      </c>
      <c r="Q148" s="747" t="e">
        <f t="shared" si="15"/>
        <v>#DIV/0!</v>
      </c>
      <c r="R148" s="747" t="e">
        <f t="shared" si="14"/>
        <v>#DIV/0!</v>
      </c>
    </row>
    <row r="149" spans="1:18" x14ac:dyDescent="0.25">
      <c r="A149" s="745">
        <f>'Состав ВТК'!B152</f>
        <v>0</v>
      </c>
      <c r="B149" s="739">
        <f>'Состав ВТК'!L152</f>
        <v>0</v>
      </c>
      <c r="C149" s="739">
        <f>'Состав ВТК'!M152</f>
        <v>0</v>
      </c>
      <c r="D149" s="746" t="b">
        <f t="shared" si="16"/>
        <v>0</v>
      </c>
      <c r="E149" s="746" t="b">
        <f t="shared" si="17"/>
        <v>0</v>
      </c>
      <c r="F149" s="746" t="b">
        <f t="shared" si="18"/>
        <v>0</v>
      </c>
      <c r="G149" s="746" t="b">
        <f t="shared" si="19"/>
        <v>0</v>
      </c>
      <c r="H149" s="741">
        <f>IF(D149=TRUE,IF(E149=FALSE,'Расчет участников НИР'!$H159*(50%/1),IF(AND(E149=TRUE,F149=TRUE,G149=TRUE),'Расчет участников НИР'!$H159*'счеталка премий'!$T$6,IF(AND(E149=TRUE,F149=TRUE),'Расчет участников НИР'!$H159*(50%/3),'Расчет участников НИР'!$H159*(50%/2)))),0)</f>
        <v>0</v>
      </c>
      <c r="I149" s="741">
        <f>IF(E149=TRUE,IF(D149=FALSE,'Расчет участников НИР'!$H159*(10%),IF(F149=FALSE,'Расчет участников НИР'!$H159*(50%/2),IF(AND(F149=TRUE,G149=TRUE),'Расчет участников НИР'!$H159*'счеталка премий'!$T$6,'Расчет участников НИР'!$H159*(50%/3)))),0)</f>
        <v>0</v>
      </c>
      <c r="J149" s="741">
        <f>IF(F149=TRUE,IF(AND(D149=FALSE,E149=FALSE),'Расчет участников НИР'!$H159*(20%),IF(D149=FALSE,'Расчет участников НИР'!$H159*(10%),IF(G149=FALSE,'Расчет участников НИР'!$H159*(50%/3),'Расчет участников НИР'!$H159*'счеталка премий'!$T$6))),0)</f>
        <v>0</v>
      </c>
      <c r="K149" s="741">
        <f>IF(G149=TRUE,IF(AND(D149=FALSE,E149=FALSE,F149=FALSE),'Расчет участников НИР'!$H159*(50%),'Расчет участников НИР'!$H159*'счеталка премий'!$T$7),0)</f>
        <v>0</v>
      </c>
      <c r="L149" s="741">
        <f t="shared" si="13"/>
        <v>0</v>
      </c>
      <c r="M149" s="741">
        <f>'Расчет участников НИР'!H159</f>
        <v>0</v>
      </c>
      <c r="O149" s="747" t="e">
        <f t="shared" si="15"/>
        <v>#DIV/0!</v>
      </c>
      <c r="P149" s="747" t="e">
        <f t="shared" si="15"/>
        <v>#DIV/0!</v>
      </c>
      <c r="Q149" s="747" t="e">
        <f t="shared" si="15"/>
        <v>#DIV/0!</v>
      </c>
      <c r="R149" s="747" t="e">
        <f t="shared" si="14"/>
        <v>#DIV/0!</v>
      </c>
    </row>
    <row r="150" spans="1:18" x14ac:dyDescent="0.25">
      <c r="A150" s="745">
        <f>'Состав ВТК'!B153</f>
        <v>0</v>
      </c>
      <c r="B150" s="739">
        <f>'Состав ВТК'!L153</f>
        <v>0</v>
      </c>
      <c r="C150" s="739">
        <f>'Состав ВТК'!M153</f>
        <v>0</v>
      </c>
      <c r="D150" s="746" t="b">
        <f t="shared" si="16"/>
        <v>0</v>
      </c>
      <c r="E150" s="746" t="b">
        <f t="shared" si="17"/>
        <v>0</v>
      </c>
      <c r="F150" s="746" t="b">
        <f t="shared" si="18"/>
        <v>0</v>
      </c>
      <c r="G150" s="746" t="b">
        <f t="shared" si="19"/>
        <v>0</v>
      </c>
      <c r="H150" s="741">
        <f>IF(D150=TRUE,IF(E150=FALSE,'Расчет участников НИР'!$H160*(50%/1),IF(AND(E150=TRUE,F150=TRUE,G150=TRUE),'Расчет участников НИР'!$H160*'счеталка премий'!$T$6,IF(AND(E150=TRUE,F150=TRUE),'Расчет участников НИР'!$H160*(50%/3),'Расчет участников НИР'!$H160*(50%/2)))),0)</f>
        <v>0</v>
      </c>
      <c r="I150" s="741">
        <f>IF(E150=TRUE,IF(D150=FALSE,'Расчет участников НИР'!$H160*(10%),IF(F150=FALSE,'Расчет участников НИР'!$H160*(50%/2),IF(AND(F150=TRUE,G150=TRUE),'Расчет участников НИР'!$H160*'счеталка премий'!$T$6,'Расчет участников НИР'!$H160*(50%/3)))),0)</f>
        <v>0</v>
      </c>
      <c r="J150" s="741">
        <f>IF(F150=TRUE,IF(AND(D150=FALSE,E150=FALSE),'Расчет участников НИР'!$H160*(20%),IF(D150=FALSE,'Расчет участников НИР'!$H160*(10%),IF(G150=FALSE,'Расчет участников НИР'!$H160*(50%/3),'Расчет участников НИР'!$H160*'счеталка премий'!$T$6))),0)</f>
        <v>0</v>
      </c>
      <c r="K150" s="741">
        <f>IF(G150=TRUE,IF(AND(D150=FALSE,E150=FALSE,F150=FALSE),'Расчет участников НИР'!$H160*(50%),'Расчет участников НИР'!$H160*'счеталка премий'!$T$7),0)</f>
        <v>0</v>
      </c>
      <c r="L150" s="741">
        <f t="shared" si="13"/>
        <v>0</v>
      </c>
      <c r="M150" s="741">
        <f>'Расчет участников НИР'!H160</f>
        <v>0</v>
      </c>
      <c r="O150" s="747" t="e">
        <f t="shared" si="15"/>
        <v>#DIV/0!</v>
      </c>
      <c r="P150" s="747" t="e">
        <f t="shared" si="15"/>
        <v>#DIV/0!</v>
      </c>
      <c r="Q150" s="747" t="e">
        <f t="shared" si="15"/>
        <v>#DIV/0!</v>
      </c>
      <c r="R150" s="747" t="e">
        <f t="shared" si="14"/>
        <v>#DIV/0!</v>
      </c>
    </row>
    <row r="151" spans="1:18" x14ac:dyDescent="0.25">
      <c r="A151" s="745">
        <f>'Состав ВТК'!B154</f>
        <v>0</v>
      </c>
      <c r="B151" s="739">
        <f>'Состав ВТК'!L154</f>
        <v>0</v>
      </c>
      <c r="C151" s="739">
        <f>'Состав ВТК'!M154</f>
        <v>0</v>
      </c>
      <c r="D151" s="746" t="b">
        <f t="shared" si="16"/>
        <v>0</v>
      </c>
      <c r="E151" s="746" t="b">
        <f t="shared" si="17"/>
        <v>0</v>
      </c>
      <c r="F151" s="746" t="b">
        <f t="shared" si="18"/>
        <v>0</v>
      </c>
      <c r="G151" s="746" t="b">
        <f t="shared" si="19"/>
        <v>0</v>
      </c>
      <c r="H151" s="741">
        <f>IF(D151=TRUE,IF(E151=FALSE,'Расчет участников НИР'!$H161*(50%/1),IF(AND(E151=TRUE,F151=TRUE,G151=TRUE),'Расчет участников НИР'!$H161*'счеталка премий'!$T$6,IF(AND(E151=TRUE,F151=TRUE),'Расчет участников НИР'!$H161*(50%/3),'Расчет участников НИР'!$H161*(50%/2)))),0)</f>
        <v>0</v>
      </c>
      <c r="I151" s="741">
        <f>IF(E151=TRUE,IF(D151=FALSE,'Расчет участников НИР'!$H161*(10%),IF(F151=FALSE,'Расчет участников НИР'!$H161*(50%/2),IF(AND(F151=TRUE,G151=TRUE),'Расчет участников НИР'!$H161*'счеталка премий'!$T$6,'Расчет участников НИР'!$H161*(50%/3)))),0)</f>
        <v>0</v>
      </c>
      <c r="J151" s="741">
        <f>IF(F151=TRUE,IF(AND(D151=FALSE,E151=FALSE),'Расчет участников НИР'!$H161*(20%),IF(D151=FALSE,'Расчет участников НИР'!$H161*(10%),IF(G151=FALSE,'Расчет участников НИР'!$H161*(50%/3),'Расчет участников НИР'!$H161*'счеталка премий'!$T$6))),0)</f>
        <v>0</v>
      </c>
      <c r="K151" s="741">
        <f>IF(G151=TRUE,IF(AND(D151=FALSE,E151=FALSE,F151=FALSE),'Расчет участников НИР'!$H161*(50%),'Расчет участников НИР'!$H161*'счеталка премий'!$T$7),0)</f>
        <v>0</v>
      </c>
      <c r="L151" s="741">
        <f t="shared" si="13"/>
        <v>0</v>
      </c>
      <c r="M151" s="741">
        <f>'Расчет участников НИР'!H161</f>
        <v>0</v>
      </c>
      <c r="O151" s="747" t="e">
        <f t="shared" si="15"/>
        <v>#DIV/0!</v>
      </c>
      <c r="P151" s="747" t="e">
        <f t="shared" si="15"/>
        <v>#DIV/0!</v>
      </c>
      <c r="Q151" s="747" t="e">
        <f t="shared" si="15"/>
        <v>#DIV/0!</v>
      </c>
      <c r="R151" s="747" t="e">
        <f t="shared" si="14"/>
        <v>#DIV/0!</v>
      </c>
    </row>
    <row r="152" spans="1:18" x14ac:dyDescent="0.25">
      <c r="A152" s="745">
        <f>'Состав ВТК'!B155</f>
        <v>0</v>
      </c>
      <c r="B152" s="739">
        <f>'Состав ВТК'!L155</f>
        <v>0</v>
      </c>
      <c r="C152" s="739">
        <f>'Состав ВТК'!M155</f>
        <v>0</v>
      </c>
      <c r="D152" s="746" t="b">
        <f t="shared" si="16"/>
        <v>0</v>
      </c>
      <c r="E152" s="746" t="b">
        <f t="shared" si="17"/>
        <v>0</v>
      </c>
      <c r="F152" s="746" t="b">
        <f t="shared" si="18"/>
        <v>0</v>
      </c>
      <c r="G152" s="746" t="b">
        <f t="shared" si="19"/>
        <v>0</v>
      </c>
      <c r="H152" s="741">
        <f>IF(D152=TRUE,IF(E152=FALSE,'Расчет участников НИР'!$H162*(50%/1),IF(AND(E152=TRUE,F152=TRUE,G152=TRUE),'Расчет участников НИР'!$H162*'счеталка премий'!$T$6,IF(AND(E152=TRUE,F152=TRUE),'Расчет участников НИР'!$H162*(50%/3),'Расчет участников НИР'!$H162*(50%/2)))),0)</f>
        <v>0</v>
      </c>
      <c r="I152" s="741">
        <f>IF(E152=TRUE,IF(D152=FALSE,'Расчет участников НИР'!$H162*(10%),IF(F152=FALSE,'Расчет участников НИР'!$H162*(50%/2),IF(AND(F152=TRUE,G152=TRUE),'Расчет участников НИР'!$H162*'счеталка премий'!$T$6,'Расчет участников НИР'!$H162*(50%/3)))),0)</f>
        <v>0</v>
      </c>
      <c r="J152" s="741">
        <f>IF(F152=TRUE,IF(AND(D152=FALSE,E152=FALSE),'Расчет участников НИР'!$H162*(20%),IF(D152=FALSE,'Расчет участников НИР'!$H162*(10%),IF(G152=FALSE,'Расчет участников НИР'!$H162*(50%/3),'Расчет участников НИР'!$H162*'счеталка премий'!$T$6))),0)</f>
        <v>0</v>
      </c>
      <c r="K152" s="741">
        <f>IF(G152=TRUE,IF(AND(D152=FALSE,E152=FALSE,F152=FALSE),'Расчет участников НИР'!$H162*(50%),'Расчет участников НИР'!$H162*'счеталка премий'!$T$7),0)</f>
        <v>0</v>
      </c>
      <c r="L152" s="741">
        <f t="shared" ref="L152:L191" si="20">SUM(H152:K152)</f>
        <v>0</v>
      </c>
      <c r="M152" s="741">
        <f>'Расчет участников НИР'!H162</f>
        <v>0</v>
      </c>
      <c r="O152" s="747" t="e">
        <f t="shared" si="15"/>
        <v>#DIV/0!</v>
      </c>
      <c r="P152" s="747" t="e">
        <f t="shared" si="15"/>
        <v>#DIV/0!</v>
      </c>
      <c r="Q152" s="747" t="e">
        <f t="shared" si="15"/>
        <v>#DIV/0!</v>
      </c>
      <c r="R152" s="747" t="e">
        <f t="shared" si="14"/>
        <v>#DIV/0!</v>
      </c>
    </row>
    <row r="153" spans="1:18" x14ac:dyDescent="0.25">
      <c r="A153" s="745">
        <f>'Состав ВТК'!B156</f>
        <v>0</v>
      </c>
      <c r="B153" s="739">
        <f>'Состав ВТК'!L156</f>
        <v>0</v>
      </c>
      <c r="C153" s="739">
        <f>'Состав ВТК'!M156</f>
        <v>0</v>
      </c>
      <c r="D153" s="746" t="b">
        <f t="shared" si="16"/>
        <v>0</v>
      </c>
      <c r="E153" s="746" t="b">
        <f t="shared" si="17"/>
        <v>0</v>
      </c>
      <c r="F153" s="746" t="b">
        <f t="shared" si="18"/>
        <v>0</v>
      </c>
      <c r="G153" s="746" t="b">
        <f t="shared" si="19"/>
        <v>0</v>
      </c>
      <c r="H153" s="741">
        <f>IF(D153=TRUE,IF(E153=FALSE,'Расчет участников НИР'!$H163*(50%/1),IF(AND(E153=TRUE,F153=TRUE,G153=TRUE),'Расчет участников НИР'!$H163*'счеталка премий'!$T$6,IF(AND(E153=TRUE,F153=TRUE),'Расчет участников НИР'!$H163*(50%/3),'Расчет участников НИР'!$H163*(50%/2)))),0)</f>
        <v>0</v>
      </c>
      <c r="I153" s="741">
        <f>IF(E153=TRUE,IF(D153=FALSE,'Расчет участников НИР'!$H163*(10%),IF(F153=FALSE,'Расчет участников НИР'!$H163*(50%/2),IF(AND(F153=TRUE,G153=TRUE),'Расчет участников НИР'!$H163*'счеталка премий'!$T$6,'Расчет участников НИР'!$H163*(50%/3)))),0)</f>
        <v>0</v>
      </c>
      <c r="J153" s="741">
        <f>IF(F153=TRUE,IF(AND(D153=FALSE,E153=FALSE),'Расчет участников НИР'!$H163*(20%),IF(D153=FALSE,'Расчет участников НИР'!$H163*(10%),IF(G153=FALSE,'Расчет участников НИР'!$H163*(50%/3),'Расчет участников НИР'!$H163*'счеталка премий'!$T$6))),0)</f>
        <v>0</v>
      </c>
      <c r="K153" s="741">
        <f>IF(G153=TRUE,IF(AND(D153=FALSE,E153=FALSE,F153=FALSE),'Расчет участников НИР'!$H163*(50%),'Расчет участников НИР'!$H163*'счеталка премий'!$T$7),0)</f>
        <v>0</v>
      </c>
      <c r="L153" s="741">
        <f t="shared" si="20"/>
        <v>0</v>
      </c>
      <c r="M153" s="741">
        <f>'Расчет участников НИР'!H163</f>
        <v>0</v>
      </c>
      <c r="O153" s="747" t="e">
        <f t="shared" si="15"/>
        <v>#DIV/0!</v>
      </c>
      <c r="P153" s="747" t="e">
        <f t="shared" si="15"/>
        <v>#DIV/0!</v>
      </c>
      <c r="Q153" s="747" t="e">
        <f t="shared" si="15"/>
        <v>#DIV/0!</v>
      </c>
      <c r="R153" s="747" t="e">
        <f t="shared" si="14"/>
        <v>#DIV/0!</v>
      </c>
    </row>
    <row r="154" spans="1:18" x14ac:dyDescent="0.25">
      <c r="A154" s="745">
        <f>'Состав ВТК'!B157</f>
        <v>0</v>
      </c>
      <c r="B154" s="739">
        <f>'Состав ВТК'!L157</f>
        <v>0</v>
      </c>
      <c r="C154" s="739">
        <f>'Состав ВТК'!M157</f>
        <v>0</v>
      </c>
      <c r="D154" s="746" t="b">
        <f t="shared" si="16"/>
        <v>0</v>
      </c>
      <c r="E154" s="746" t="b">
        <f t="shared" si="17"/>
        <v>0</v>
      </c>
      <c r="F154" s="746" t="b">
        <f t="shared" si="18"/>
        <v>0</v>
      </c>
      <c r="G154" s="746" t="b">
        <f t="shared" si="19"/>
        <v>0</v>
      </c>
      <c r="H154" s="741">
        <f>IF(D154=TRUE,IF(E154=FALSE,'Расчет участников НИР'!$H164*(50%/1),IF(AND(E154=TRUE,F154=TRUE,G154=TRUE),'Расчет участников НИР'!$H164*'счеталка премий'!$T$6,IF(AND(E154=TRUE,F154=TRUE),'Расчет участников НИР'!$H164*(50%/3),'Расчет участников НИР'!$H164*(50%/2)))),0)</f>
        <v>0</v>
      </c>
      <c r="I154" s="741">
        <f>IF(E154=TRUE,IF(D154=FALSE,'Расчет участников НИР'!$H164*(10%),IF(F154=FALSE,'Расчет участников НИР'!$H164*(50%/2),IF(AND(F154=TRUE,G154=TRUE),'Расчет участников НИР'!$H164*'счеталка премий'!$T$6,'Расчет участников НИР'!$H164*(50%/3)))),0)</f>
        <v>0</v>
      </c>
      <c r="J154" s="741">
        <f>IF(F154=TRUE,IF(AND(D154=FALSE,E154=FALSE),'Расчет участников НИР'!$H164*(20%),IF(D154=FALSE,'Расчет участников НИР'!$H164*(10%),IF(G154=FALSE,'Расчет участников НИР'!$H164*(50%/3),'Расчет участников НИР'!$H164*'счеталка премий'!$T$6))),0)</f>
        <v>0</v>
      </c>
      <c r="K154" s="741">
        <f>IF(G154=TRUE,IF(AND(D154=FALSE,E154=FALSE,F154=FALSE),'Расчет участников НИР'!$H164*(50%),'Расчет участников НИР'!$H164*'счеталка премий'!$T$7),0)</f>
        <v>0</v>
      </c>
      <c r="L154" s="741">
        <f t="shared" si="20"/>
        <v>0</v>
      </c>
      <c r="M154" s="741">
        <f>'Расчет участников НИР'!H164</f>
        <v>0</v>
      </c>
      <c r="O154" s="747" t="e">
        <f t="shared" si="15"/>
        <v>#DIV/0!</v>
      </c>
      <c r="P154" s="747" t="e">
        <f t="shared" si="15"/>
        <v>#DIV/0!</v>
      </c>
      <c r="Q154" s="747" t="e">
        <f t="shared" si="15"/>
        <v>#DIV/0!</v>
      </c>
      <c r="R154" s="747" t="e">
        <f t="shared" si="14"/>
        <v>#DIV/0!</v>
      </c>
    </row>
    <row r="155" spans="1:18" x14ac:dyDescent="0.25">
      <c r="A155" s="745">
        <f>'Состав ВТК'!B158</f>
        <v>0</v>
      </c>
      <c r="B155" s="739">
        <f>'Состав ВТК'!L158</f>
        <v>0</v>
      </c>
      <c r="C155" s="739">
        <f>'Состав ВТК'!M158</f>
        <v>0</v>
      </c>
      <c r="D155" s="746" t="b">
        <f t="shared" si="16"/>
        <v>0</v>
      </c>
      <c r="E155" s="746" t="b">
        <f t="shared" si="17"/>
        <v>0</v>
      </c>
      <c r="F155" s="746" t="b">
        <f t="shared" si="18"/>
        <v>0</v>
      </c>
      <c r="G155" s="746" t="b">
        <f t="shared" si="19"/>
        <v>0</v>
      </c>
      <c r="H155" s="741">
        <f>IF(D155=TRUE,IF(E155=FALSE,'Расчет участников НИР'!$H165*(50%/1),IF(AND(E155=TRUE,F155=TRUE,G155=TRUE),'Расчет участников НИР'!$H165*'счеталка премий'!$T$6,IF(AND(E155=TRUE,F155=TRUE),'Расчет участников НИР'!$H165*(50%/3),'Расчет участников НИР'!$H165*(50%/2)))),0)</f>
        <v>0</v>
      </c>
      <c r="I155" s="741">
        <f>IF(E155=TRUE,IF(D155=FALSE,'Расчет участников НИР'!$H165*(10%),IF(F155=FALSE,'Расчет участников НИР'!$H165*(50%/2),IF(AND(F155=TRUE,G155=TRUE),'Расчет участников НИР'!$H165*'счеталка премий'!$T$6,'Расчет участников НИР'!$H165*(50%/3)))),0)</f>
        <v>0</v>
      </c>
      <c r="J155" s="741">
        <f>IF(F155=TRUE,IF(AND(D155=FALSE,E155=FALSE),'Расчет участников НИР'!$H165*(20%),IF(D155=FALSE,'Расчет участников НИР'!$H165*(10%),IF(G155=FALSE,'Расчет участников НИР'!$H165*(50%/3),'Расчет участников НИР'!$H165*'счеталка премий'!$T$6))),0)</f>
        <v>0</v>
      </c>
      <c r="K155" s="741">
        <f>IF(G155=TRUE,IF(AND(D155=FALSE,E155=FALSE,F155=FALSE),'Расчет участников НИР'!$H165*(50%),'Расчет участников НИР'!$H165*'счеталка премий'!$T$7),0)</f>
        <v>0</v>
      </c>
      <c r="L155" s="741">
        <f t="shared" si="20"/>
        <v>0</v>
      </c>
      <c r="M155" s="741">
        <f>'Расчет участников НИР'!H165</f>
        <v>0</v>
      </c>
      <c r="O155" s="747" t="e">
        <f t="shared" si="15"/>
        <v>#DIV/0!</v>
      </c>
      <c r="P155" s="747" t="e">
        <f t="shared" si="15"/>
        <v>#DIV/0!</v>
      </c>
      <c r="Q155" s="747" t="e">
        <f t="shared" si="15"/>
        <v>#DIV/0!</v>
      </c>
      <c r="R155" s="747" t="e">
        <f t="shared" si="14"/>
        <v>#DIV/0!</v>
      </c>
    </row>
    <row r="156" spans="1:18" x14ac:dyDescent="0.25">
      <c r="A156" s="745">
        <f>'Состав ВТК'!B159</f>
        <v>0</v>
      </c>
      <c r="B156" s="739">
        <f>'Состав ВТК'!L159</f>
        <v>0</v>
      </c>
      <c r="C156" s="739">
        <f>'Состав ВТК'!M159</f>
        <v>0</v>
      </c>
      <c r="D156" s="746" t="b">
        <f t="shared" si="16"/>
        <v>0</v>
      </c>
      <c r="E156" s="746" t="b">
        <f t="shared" si="17"/>
        <v>0</v>
      </c>
      <c r="F156" s="746" t="b">
        <f t="shared" si="18"/>
        <v>0</v>
      </c>
      <c r="G156" s="746" t="b">
        <f t="shared" si="19"/>
        <v>0</v>
      </c>
      <c r="H156" s="741">
        <f>IF(D156=TRUE,IF(E156=FALSE,'Расчет участников НИР'!$H166*(50%/1),IF(AND(E156=TRUE,F156=TRUE,G156=TRUE),'Расчет участников НИР'!$H166*'счеталка премий'!$T$6,IF(AND(E156=TRUE,F156=TRUE),'Расчет участников НИР'!$H166*(50%/3),'Расчет участников НИР'!$H166*(50%/2)))),0)</f>
        <v>0</v>
      </c>
      <c r="I156" s="741">
        <f>IF(E156=TRUE,IF(D156=FALSE,'Расчет участников НИР'!$H166*(10%),IF(F156=FALSE,'Расчет участников НИР'!$H166*(50%/2),IF(AND(F156=TRUE,G156=TRUE),'Расчет участников НИР'!$H166*'счеталка премий'!$T$6,'Расчет участников НИР'!$H166*(50%/3)))),0)</f>
        <v>0</v>
      </c>
      <c r="J156" s="741">
        <f>IF(F156=TRUE,IF(AND(D156=FALSE,E156=FALSE),'Расчет участников НИР'!$H166*(20%),IF(D156=FALSE,'Расчет участников НИР'!$H166*(10%),IF(G156=FALSE,'Расчет участников НИР'!$H166*(50%/3),'Расчет участников НИР'!$H166*'счеталка премий'!$T$6))),0)</f>
        <v>0</v>
      </c>
      <c r="K156" s="741">
        <f>IF(G156=TRUE,IF(AND(D156=FALSE,E156=FALSE,F156=FALSE),'Расчет участников НИР'!$H166*(50%),'Расчет участников НИР'!$H166*'счеталка премий'!$T$7),0)</f>
        <v>0</v>
      </c>
      <c r="L156" s="741">
        <f t="shared" si="20"/>
        <v>0</v>
      </c>
      <c r="M156" s="741">
        <f>'Расчет участников НИР'!H166</f>
        <v>0</v>
      </c>
      <c r="O156" s="747" t="e">
        <f t="shared" si="15"/>
        <v>#DIV/0!</v>
      </c>
      <c r="P156" s="747" t="e">
        <f t="shared" si="15"/>
        <v>#DIV/0!</v>
      </c>
      <c r="Q156" s="747" t="e">
        <f t="shared" si="15"/>
        <v>#DIV/0!</v>
      </c>
      <c r="R156" s="747" t="e">
        <f t="shared" si="14"/>
        <v>#DIV/0!</v>
      </c>
    </row>
    <row r="157" spans="1:18" x14ac:dyDescent="0.25">
      <c r="A157" s="745">
        <f>'Состав ВТК'!B160</f>
        <v>0</v>
      </c>
      <c r="B157" s="739">
        <f>'Состав ВТК'!L160</f>
        <v>0</v>
      </c>
      <c r="C157" s="739">
        <f>'Состав ВТК'!M160</f>
        <v>0</v>
      </c>
      <c r="D157" s="746" t="b">
        <f t="shared" si="16"/>
        <v>0</v>
      </c>
      <c r="E157" s="746" t="b">
        <f t="shared" si="17"/>
        <v>0</v>
      </c>
      <c r="F157" s="746" t="b">
        <f t="shared" si="18"/>
        <v>0</v>
      </c>
      <c r="G157" s="746" t="b">
        <f t="shared" si="19"/>
        <v>0</v>
      </c>
      <c r="H157" s="741">
        <f>IF(D157=TRUE,IF(E157=FALSE,'Расчет участников НИР'!$H167*(50%/1),IF(AND(E157=TRUE,F157=TRUE,G157=TRUE),'Расчет участников НИР'!$H167*'счеталка премий'!$T$6,IF(AND(E157=TRUE,F157=TRUE),'Расчет участников НИР'!$H167*(50%/3),'Расчет участников НИР'!$H167*(50%/2)))),0)</f>
        <v>0</v>
      </c>
      <c r="I157" s="741">
        <f>IF(E157=TRUE,IF(D157=FALSE,'Расчет участников НИР'!$H167*(10%),IF(F157=FALSE,'Расчет участников НИР'!$H167*(50%/2),IF(AND(F157=TRUE,G157=TRUE),'Расчет участников НИР'!$H167*'счеталка премий'!$T$6,'Расчет участников НИР'!$H167*(50%/3)))),0)</f>
        <v>0</v>
      </c>
      <c r="J157" s="741">
        <f>IF(F157=TRUE,IF(AND(D157=FALSE,E157=FALSE),'Расчет участников НИР'!$H167*(20%),IF(D157=FALSE,'Расчет участников НИР'!$H167*(10%),IF(G157=FALSE,'Расчет участников НИР'!$H167*(50%/3),'Расчет участников НИР'!$H167*'счеталка премий'!$T$6))),0)</f>
        <v>0</v>
      </c>
      <c r="K157" s="741">
        <f>IF(G157=TRUE,IF(AND(D157=FALSE,E157=FALSE,F157=FALSE),'Расчет участников НИР'!$H167*(50%),'Расчет участников НИР'!$H167*'счеталка премий'!$T$7),0)</f>
        <v>0</v>
      </c>
      <c r="L157" s="741">
        <f t="shared" si="20"/>
        <v>0</v>
      </c>
      <c r="M157" s="741">
        <f>'Расчет участников НИР'!H167</f>
        <v>0</v>
      </c>
      <c r="O157" s="747" t="e">
        <f t="shared" si="15"/>
        <v>#DIV/0!</v>
      </c>
      <c r="P157" s="747" t="e">
        <f t="shared" si="15"/>
        <v>#DIV/0!</v>
      </c>
      <c r="Q157" s="747" t="e">
        <f t="shared" si="15"/>
        <v>#DIV/0!</v>
      </c>
      <c r="R157" s="747" t="e">
        <f t="shared" si="14"/>
        <v>#DIV/0!</v>
      </c>
    </row>
    <row r="158" spans="1:18" x14ac:dyDescent="0.25">
      <c r="A158" s="745">
        <f>'Состав ВТК'!B161</f>
        <v>0</v>
      </c>
      <c r="B158" s="739">
        <f>'Состав ВТК'!L161</f>
        <v>0</v>
      </c>
      <c r="C158" s="739">
        <f>'Состав ВТК'!M161</f>
        <v>0</v>
      </c>
      <c r="D158" s="746" t="b">
        <f t="shared" si="16"/>
        <v>0</v>
      </c>
      <c r="E158" s="746" t="b">
        <f t="shared" si="17"/>
        <v>0</v>
      </c>
      <c r="F158" s="746" t="b">
        <f t="shared" si="18"/>
        <v>0</v>
      </c>
      <c r="G158" s="746" t="b">
        <f t="shared" si="19"/>
        <v>0</v>
      </c>
      <c r="H158" s="741">
        <f>IF(D158=TRUE,IF(E158=FALSE,'Расчет участников НИР'!$H168*(50%/1),IF(AND(E158=TRUE,F158=TRUE,G158=TRUE),'Расчет участников НИР'!$H168*'счеталка премий'!$T$6,IF(AND(E158=TRUE,F158=TRUE),'Расчет участников НИР'!$H168*(50%/3),'Расчет участников НИР'!$H168*(50%/2)))),0)</f>
        <v>0</v>
      </c>
      <c r="I158" s="741">
        <f>IF(E158=TRUE,IF(D158=FALSE,'Расчет участников НИР'!$H168*(10%),IF(F158=FALSE,'Расчет участников НИР'!$H168*(50%/2),IF(AND(F158=TRUE,G158=TRUE),'Расчет участников НИР'!$H168*'счеталка премий'!$T$6,'Расчет участников НИР'!$H168*(50%/3)))),0)</f>
        <v>0</v>
      </c>
      <c r="J158" s="741">
        <f>IF(F158=TRUE,IF(AND(D158=FALSE,E158=FALSE),'Расчет участников НИР'!$H168*(20%),IF(D158=FALSE,'Расчет участников НИР'!$H168*(10%),IF(G158=FALSE,'Расчет участников НИР'!$H168*(50%/3),'Расчет участников НИР'!$H168*'счеталка премий'!$T$6))),0)</f>
        <v>0</v>
      </c>
      <c r="K158" s="741">
        <f>IF(G158=TRUE,IF(AND(D158=FALSE,E158=FALSE,F158=FALSE),'Расчет участников НИР'!$H168*(50%),'Расчет участников НИР'!$H168*'счеталка премий'!$T$7),0)</f>
        <v>0</v>
      </c>
      <c r="L158" s="741">
        <f t="shared" si="20"/>
        <v>0</v>
      </c>
      <c r="M158" s="741">
        <f>'Расчет участников НИР'!H168</f>
        <v>0</v>
      </c>
      <c r="O158" s="747" t="e">
        <f t="shared" si="15"/>
        <v>#DIV/0!</v>
      </c>
      <c r="P158" s="747" t="e">
        <f t="shared" si="15"/>
        <v>#DIV/0!</v>
      </c>
      <c r="Q158" s="747" t="e">
        <f t="shared" si="15"/>
        <v>#DIV/0!</v>
      </c>
      <c r="R158" s="747" t="e">
        <f t="shared" si="14"/>
        <v>#DIV/0!</v>
      </c>
    </row>
    <row r="159" spans="1:18" x14ac:dyDescent="0.25">
      <c r="A159" s="745">
        <f>'Состав ВТК'!B162</f>
        <v>0</v>
      </c>
      <c r="B159" s="739">
        <f>'Состав ВТК'!L162</f>
        <v>0</v>
      </c>
      <c r="C159" s="739">
        <f>'Состав ВТК'!M162</f>
        <v>0</v>
      </c>
      <c r="D159" s="746" t="b">
        <f t="shared" si="16"/>
        <v>0</v>
      </c>
      <c r="E159" s="746" t="b">
        <f t="shared" si="17"/>
        <v>0</v>
      </c>
      <c r="F159" s="746" t="b">
        <f t="shared" si="18"/>
        <v>0</v>
      </c>
      <c r="G159" s="746" t="b">
        <f t="shared" si="19"/>
        <v>0</v>
      </c>
      <c r="H159" s="741">
        <f>IF(D159=TRUE,IF(E159=FALSE,'Расчет участников НИР'!$H169*(50%/1),IF(AND(E159=TRUE,F159=TRUE,G159=TRUE),'Расчет участников НИР'!$H169*'счеталка премий'!$T$6,IF(AND(E159=TRUE,F159=TRUE),'Расчет участников НИР'!$H169*(50%/3),'Расчет участников НИР'!$H169*(50%/2)))),0)</f>
        <v>0</v>
      </c>
      <c r="I159" s="741">
        <f>IF(E159=TRUE,IF(D159=FALSE,'Расчет участников НИР'!$H169*(10%),IF(F159=FALSE,'Расчет участников НИР'!$H169*(50%/2),IF(AND(F159=TRUE,G159=TRUE),'Расчет участников НИР'!$H169*'счеталка премий'!$T$6,'Расчет участников НИР'!$H169*(50%/3)))),0)</f>
        <v>0</v>
      </c>
      <c r="J159" s="741">
        <f>IF(F159=TRUE,IF(AND(D159=FALSE,E159=FALSE),'Расчет участников НИР'!$H169*(20%),IF(D159=FALSE,'Расчет участников НИР'!$H169*(10%),IF(G159=FALSE,'Расчет участников НИР'!$H169*(50%/3),'Расчет участников НИР'!$H169*'счеталка премий'!$T$6))),0)</f>
        <v>0</v>
      </c>
      <c r="K159" s="741">
        <f>IF(G159=TRUE,IF(AND(D159=FALSE,E159=FALSE,F159=FALSE),'Расчет участников НИР'!$H169*(50%),'Расчет участников НИР'!$H169*'счеталка премий'!$T$7),0)</f>
        <v>0</v>
      </c>
      <c r="L159" s="741">
        <f t="shared" si="20"/>
        <v>0</v>
      </c>
      <c r="M159" s="741">
        <f>'Расчет участников НИР'!H169</f>
        <v>0</v>
      </c>
      <c r="O159" s="747" t="e">
        <f t="shared" si="15"/>
        <v>#DIV/0!</v>
      </c>
      <c r="P159" s="747" t="e">
        <f t="shared" si="15"/>
        <v>#DIV/0!</v>
      </c>
      <c r="Q159" s="747" t="e">
        <f t="shared" si="15"/>
        <v>#DIV/0!</v>
      </c>
      <c r="R159" s="747" t="e">
        <f t="shared" si="14"/>
        <v>#DIV/0!</v>
      </c>
    </row>
    <row r="160" spans="1:18" x14ac:dyDescent="0.25">
      <c r="A160" s="745">
        <f>'Состав ВТК'!B163</f>
        <v>0</v>
      </c>
      <c r="B160" s="739">
        <f>'Состав ВТК'!L163</f>
        <v>0</v>
      </c>
      <c r="C160" s="739">
        <f>'Состав ВТК'!M163</f>
        <v>0</v>
      </c>
      <c r="D160" s="746" t="b">
        <f t="shared" si="16"/>
        <v>0</v>
      </c>
      <c r="E160" s="746" t="b">
        <f t="shared" si="17"/>
        <v>0</v>
      </c>
      <c r="F160" s="746" t="b">
        <f t="shared" si="18"/>
        <v>0</v>
      </c>
      <c r="G160" s="746" t="b">
        <f t="shared" si="19"/>
        <v>0</v>
      </c>
      <c r="H160" s="741">
        <f>IF(D160=TRUE,IF(E160=FALSE,'Расчет участников НИР'!$H170*(50%/1),IF(AND(E160=TRUE,F160=TRUE,G160=TRUE),'Расчет участников НИР'!$H170*'счеталка премий'!$T$6,IF(AND(E160=TRUE,F160=TRUE),'Расчет участников НИР'!$H170*(50%/3),'Расчет участников НИР'!$H170*(50%/2)))),0)</f>
        <v>0</v>
      </c>
      <c r="I160" s="741">
        <f>IF(E160=TRUE,IF(D160=FALSE,'Расчет участников НИР'!$H170*(10%),IF(F160=FALSE,'Расчет участников НИР'!$H170*(50%/2),IF(AND(F160=TRUE,G160=TRUE),'Расчет участников НИР'!$H170*'счеталка премий'!$T$6,'Расчет участников НИР'!$H170*(50%/3)))),0)</f>
        <v>0</v>
      </c>
      <c r="J160" s="741">
        <f>IF(F160=TRUE,IF(AND(D160=FALSE,E160=FALSE),'Расчет участников НИР'!$H170*(20%),IF(D160=FALSE,'Расчет участников НИР'!$H170*(10%),IF(G160=FALSE,'Расчет участников НИР'!$H170*(50%/3),'Расчет участников НИР'!$H170*'счеталка премий'!$T$6))),0)</f>
        <v>0</v>
      </c>
      <c r="K160" s="741">
        <f>IF(G160=TRUE,IF(AND(D160=FALSE,E160=FALSE,F160=FALSE),'Расчет участников НИР'!$H170*(50%),'Расчет участников НИР'!$H170*'счеталка премий'!$T$7),0)</f>
        <v>0</v>
      </c>
      <c r="L160" s="741">
        <f t="shared" si="20"/>
        <v>0</v>
      </c>
      <c r="M160" s="741">
        <f>'Расчет участников НИР'!H170</f>
        <v>0</v>
      </c>
      <c r="O160" s="747" t="e">
        <f t="shared" si="15"/>
        <v>#DIV/0!</v>
      </c>
      <c r="P160" s="747" t="e">
        <f t="shared" si="15"/>
        <v>#DIV/0!</v>
      </c>
      <c r="Q160" s="747" t="e">
        <f t="shared" si="15"/>
        <v>#DIV/0!</v>
      </c>
      <c r="R160" s="747" t="e">
        <f t="shared" si="14"/>
        <v>#DIV/0!</v>
      </c>
    </row>
    <row r="161" spans="1:18" x14ac:dyDescent="0.25">
      <c r="A161" s="745">
        <f>'Состав ВТК'!B164</f>
        <v>0</v>
      </c>
      <c r="B161" s="739">
        <f>'Состав ВТК'!L164</f>
        <v>0</v>
      </c>
      <c r="C161" s="739">
        <f>'Состав ВТК'!M164</f>
        <v>0</v>
      </c>
      <c r="D161" s="746" t="b">
        <f t="shared" si="16"/>
        <v>0</v>
      </c>
      <c r="E161" s="746" t="b">
        <f t="shared" si="17"/>
        <v>0</v>
      </c>
      <c r="F161" s="746" t="b">
        <f t="shared" si="18"/>
        <v>0</v>
      </c>
      <c r="G161" s="746" t="b">
        <f t="shared" si="19"/>
        <v>0</v>
      </c>
      <c r="H161" s="741">
        <f>IF(D161=TRUE,IF(E161=FALSE,'Расчет участников НИР'!$H171*(50%/1),IF(AND(E161=TRUE,F161=TRUE,G161=TRUE),'Расчет участников НИР'!$H171*'счеталка премий'!$T$6,IF(AND(E161=TRUE,F161=TRUE),'Расчет участников НИР'!$H171*(50%/3),'Расчет участников НИР'!$H171*(50%/2)))),0)</f>
        <v>0</v>
      </c>
      <c r="I161" s="741">
        <f>IF(E161=TRUE,IF(D161=FALSE,'Расчет участников НИР'!$H171*(10%),IF(F161=FALSE,'Расчет участников НИР'!$H171*(50%/2),IF(AND(F161=TRUE,G161=TRUE),'Расчет участников НИР'!$H171*'счеталка премий'!$T$6,'Расчет участников НИР'!$H171*(50%/3)))),0)</f>
        <v>0</v>
      </c>
      <c r="J161" s="741">
        <f>IF(F161=TRUE,IF(AND(D161=FALSE,E161=FALSE),'Расчет участников НИР'!$H171*(20%),IF(D161=FALSE,'Расчет участников НИР'!$H171*(10%),IF(G161=FALSE,'Расчет участников НИР'!$H171*(50%/3),'Расчет участников НИР'!$H171*'счеталка премий'!$T$6))),0)</f>
        <v>0</v>
      </c>
      <c r="K161" s="741">
        <f>IF(G161=TRUE,IF(AND(D161=FALSE,E161=FALSE,F161=FALSE),'Расчет участников НИР'!$H171*(50%),'Расчет участников НИР'!$H171*'счеталка премий'!$T$7),0)</f>
        <v>0</v>
      </c>
      <c r="L161" s="741">
        <f t="shared" si="20"/>
        <v>0</v>
      </c>
      <c r="M161" s="741">
        <f>'Расчет участников НИР'!H171</f>
        <v>0</v>
      </c>
      <c r="O161" s="747" t="e">
        <f t="shared" si="15"/>
        <v>#DIV/0!</v>
      </c>
      <c r="P161" s="747" t="e">
        <f t="shared" si="15"/>
        <v>#DIV/0!</v>
      </c>
      <c r="Q161" s="747" t="e">
        <f t="shared" si="15"/>
        <v>#DIV/0!</v>
      </c>
      <c r="R161" s="747" t="e">
        <f t="shared" si="15"/>
        <v>#DIV/0!</v>
      </c>
    </row>
    <row r="162" spans="1:18" x14ac:dyDescent="0.25">
      <c r="A162" s="745">
        <f>'Состав ВТК'!B165</f>
        <v>0</v>
      </c>
      <c r="B162" s="739">
        <f>'Состав ВТК'!L165</f>
        <v>0</v>
      </c>
      <c r="C162" s="739">
        <f>'Состав ВТК'!M165</f>
        <v>0</v>
      </c>
      <c r="D162" s="746" t="b">
        <f t="shared" si="16"/>
        <v>0</v>
      </c>
      <c r="E162" s="746" t="b">
        <f t="shared" si="17"/>
        <v>0</v>
      </c>
      <c r="F162" s="746" t="b">
        <f t="shared" si="18"/>
        <v>0</v>
      </c>
      <c r="G162" s="746" t="b">
        <f t="shared" si="19"/>
        <v>0</v>
      </c>
      <c r="H162" s="741">
        <f>IF(D162=TRUE,IF(E162=FALSE,'Расчет участников НИР'!$H172*(50%/1),IF(AND(E162=TRUE,F162=TRUE,G162=TRUE),'Расчет участников НИР'!$H172*'счеталка премий'!$T$6,IF(AND(E162=TRUE,F162=TRUE),'Расчет участников НИР'!$H172*(50%/3),'Расчет участников НИР'!$H172*(50%/2)))),0)</f>
        <v>0</v>
      </c>
      <c r="I162" s="741">
        <f>IF(E162=TRUE,IF(D162=FALSE,'Расчет участников НИР'!$H172*(10%),IF(F162=FALSE,'Расчет участников НИР'!$H172*(50%/2),IF(AND(F162=TRUE,G162=TRUE),'Расчет участников НИР'!$H172*'счеталка премий'!$T$6,'Расчет участников НИР'!$H172*(50%/3)))),0)</f>
        <v>0</v>
      </c>
      <c r="J162" s="741">
        <f>IF(F162=TRUE,IF(AND(D162=FALSE,E162=FALSE),'Расчет участников НИР'!$H172*(20%),IF(D162=FALSE,'Расчет участников НИР'!$H172*(10%),IF(G162=FALSE,'Расчет участников НИР'!$H172*(50%/3),'Расчет участников НИР'!$H172*'счеталка премий'!$T$6))),0)</f>
        <v>0</v>
      </c>
      <c r="K162" s="741">
        <f>IF(G162=TRUE,IF(AND(D162=FALSE,E162=FALSE,F162=FALSE),'Расчет участников НИР'!$H172*(50%),'Расчет участников НИР'!$H172*'счеталка премий'!$T$7),0)</f>
        <v>0</v>
      </c>
      <c r="L162" s="741">
        <f t="shared" si="20"/>
        <v>0</v>
      </c>
      <c r="M162" s="741">
        <f>'Расчет участников НИР'!H172</f>
        <v>0</v>
      </c>
      <c r="O162" s="747" t="e">
        <f t="shared" ref="O162:R191" si="21">H162/$M162</f>
        <v>#DIV/0!</v>
      </c>
      <c r="P162" s="747" t="e">
        <f t="shared" si="21"/>
        <v>#DIV/0!</v>
      </c>
      <c r="Q162" s="747" t="e">
        <f t="shared" si="21"/>
        <v>#DIV/0!</v>
      </c>
      <c r="R162" s="747" t="e">
        <f t="shared" si="21"/>
        <v>#DIV/0!</v>
      </c>
    </row>
    <row r="163" spans="1:18" x14ac:dyDescent="0.25">
      <c r="A163" s="745">
        <f>'Состав ВТК'!B166</f>
        <v>0</v>
      </c>
      <c r="B163" s="739">
        <f>'Состав ВТК'!L166</f>
        <v>0</v>
      </c>
      <c r="C163" s="739">
        <f>'Состав ВТК'!M166</f>
        <v>0</v>
      </c>
      <c r="D163" s="746" t="b">
        <f t="shared" si="16"/>
        <v>0</v>
      </c>
      <c r="E163" s="746" t="b">
        <f t="shared" si="17"/>
        <v>0</v>
      </c>
      <c r="F163" s="746" t="b">
        <f t="shared" si="18"/>
        <v>0</v>
      </c>
      <c r="G163" s="746" t="b">
        <f t="shared" si="19"/>
        <v>0</v>
      </c>
      <c r="H163" s="741">
        <f>IF(D163=TRUE,IF(E163=FALSE,'Расчет участников НИР'!$H173*(50%/1),IF(AND(E163=TRUE,F163=TRUE,G163=TRUE),'Расчет участников НИР'!$H173*'счеталка премий'!$T$6,IF(AND(E163=TRUE,F163=TRUE),'Расчет участников НИР'!$H173*(50%/3),'Расчет участников НИР'!$H173*(50%/2)))),0)</f>
        <v>0</v>
      </c>
      <c r="I163" s="741">
        <f>IF(E163=TRUE,IF(D163=FALSE,'Расчет участников НИР'!$H173*(10%),IF(F163=FALSE,'Расчет участников НИР'!$H173*(50%/2),IF(AND(F163=TRUE,G163=TRUE),'Расчет участников НИР'!$H173*'счеталка премий'!$T$6,'Расчет участников НИР'!$H173*(50%/3)))),0)</f>
        <v>0</v>
      </c>
      <c r="J163" s="741">
        <f>IF(F163=TRUE,IF(AND(D163=FALSE,E163=FALSE),'Расчет участников НИР'!$H173*(20%),IF(D163=FALSE,'Расчет участников НИР'!$H173*(10%),IF(G163=FALSE,'Расчет участников НИР'!$H173*(50%/3),'Расчет участников НИР'!$H173*'счеталка премий'!$T$6))),0)</f>
        <v>0</v>
      </c>
      <c r="K163" s="741">
        <f>IF(G163=TRUE,IF(AND(D163=FALSE,E163=FALSE,F163=FALSE),'Расчет участников НИР'!$H173*(50%),'Расчет участников НИР'!$H173*'счеталка премий'!$T$7),0)</f>
        <v>0</v>
      </c>
      <c r="L163" s="741">
        <f t="shared" si="20"/>
        <v>0</v>
      </c>
      <c r="M163" s="741">
        <f>'Расчет участников НИР'!H173</f>
        <v>0</v>
      </c>
      <c r="O163" s="747" t="e">
        <f t="shared" si="21"/>
        <v>#DIV/0!</v>
      </c>
      <c r="P163" s="747" t="e">
        <f t="shared" si="21"/>
        <v>#DIV/0!</v>
      </c>
      <c r="Q163" s="747" t="e">
        <f t="shared" si="21"/>
        <v>#DIV/0!</v>
      </c>
      <c r="R163" s="747" t="e">
        <f t="shared" si="21"/>
        <v>#DIV/0!</v>
      </c>
    </row>
    <row r="164" spans="1:18" x14ac:dyDescent="0.25">
      <c r="A164" s="745">
        <f>'Состав ВТК'!B167</f>
        <v>0</v>
      </c>
      <c r="B164" s="739">
        <f>'Состав ВТК'!L167</f>
        <v>0</v>
      </c>
      <c r="C164" s="739">
        <f>'Состав ВТК'!M167</f>
        <v>0</v>
      </c>
      <c r="D164" s="746" t="b">
        <f t="shared" si="16"/>
        <v>0</v>
      </c>
      <c r="E164" s="746" t="b">
        <f t="shared" si="17"/>
        <v>0</v>
      </c>
      <c r="F164" s="746" t="b">
        <f t="shared" si="18"/>
        <v>0</v>
      </c>
      <c r="G164" s="746" t="b">
        <f t="shared" si="19"/>
        <v>0</v>
      </c>
      <c r="H164" s="741">
        <f>IF(D164=TRUE,IF(E164=FALSE,'Расчет участников НИР'!$H174*(50%/1),IF(AND(E164=TRUE,F164=TRUE,G164=TRUE),'Расчет участников НИР'!$H174*'счеталка премий'!$T$6,IF(AND(E164=TRUE,F164=TRUE),'Расчет участников НИР'!$H174*(50%/3),'Расчет участников НИР'!$H174*(50%/2)))),0)</f>
        <v>0</v>
      </c>
      <c r="I164" s="741">
        <f>IF(E164=TRUE,IF(D164=FALSE,'Расчет участников НИР'!$H174*(10%),IF(F164=FALSE,'Расчет участников НИР'!$H174*(50%/2),IF(AND(F164=TRUE,G164=TRUE),'Расчет участников НИР'!$H174*'счеталка премий'!$T$6,'Расчет участников НИР'!$H174*(50%/3)))),0)</f>
        <v>0</v>
      </c>
      <c r="J164" s="741">
        <f>IF(F164=TRUE,IF(AND(D164=FALSE,E164=FALSE),'Расчет участников НИР'!$H174*(20%),IF(D164=FALSE,'Расчет участников НИР'!$H174*(10%),IF(G164=FALSE,'Расчет участников НИР'!$H174*(50%/3),'Расчет участников НИР'!$H174*'счеталка премий'!$T$6))),0)</f>
        <v>0</v>
      </c>
      <c r="K164" s="741">
        <f>IF(G164=TRUE,IF(AND(D164=FALSE,E164=FALSE,F164=FALSE),'Расчет участников НИР'!$H174*(50%),'Расчет участников НИР'!$H174*'счеталка премий'!$T$7),0)</f>
        <v>0</v>
      </c>
      <c r="L164" s="741">
        <f t="shared" si="20"/>
        <v>0</v>
      </c>
      <c r="M164" s="741">
        <f>'Расчет участников НИР'!H174</f>
        <v>0</v>
      </c>
      <c r="O164" s="747" t="e">
        <f t="shared" si="21"/>
        <v>#DIV/0!</v>
      </c>
      <c r="P164" s="747" t="e">
        <f t="shared" si="21"/>
        <v>#DIV/0!</v>
      </c>
      <c r="Q164" s="747" t="e">
        <f t="shared" si="21"/>
        <v>#DIV/0!</v>
      </c>
      <c r="R164" s="747" t="e">
        <f t="shared" si="21"/>
        <v>#DIV/0!</v>
      </c>
    </row>
    <row r="165" spans="1:18" x14ac:dyDescent="0.25">
      <c r="A165" s="745">
        <f>'Состав ВТК'!B168</f>
        <v>0</v>
      </c>
      <c r="B165" s="739">
        <f>'Состав ВТК'!L168</f>
        <v>0</v>
      </c>
      <c r="C165" s="739">
        <f>'Состав ВТК'!M168</f>
        <v>0</v>
      </c>
      <c r="D165" s="746" t="b">
        <f t="shared" si="16"/>
        <v>0</v>
      </c>
      <c r="E165" s="746" t="b">
        <f t="shared" si="17"/>
        <v>0</v>
      </c>
      <c r="F165" s="746" t="b">
        <f t="shared" si="18"/>
        <v>0</v>
      </c>
      <c r="G165" s="746" t="b">
        <f t="shared" si="19"/>
        <v>0</v>
      </c>
      <c r="H165" s="741">
        <f>IF(D165=TRUE,IF(E165=FALSE,'Расчет участников НИР'!$H175*(50%/1),IF(AND(E165=TRUE,F165=TRUE,G165=TRUE),'Расчет участников НИР'!$H175*'счеталка премий'!$T$6,IF(AND(E165=TRUE,F165=TRUE),'Расчет участников НИР'!$H175*(50%/3),'Расчет участников НИР'!$H175*(50%/2)))),0)</f>
        <v>0</v>
      </c>
      <c r="I165" s="741">
        <f>IF(E165=TRUE,IF(D165=FALSE,'Расчет участников НИР'!$H175*(10%),IF(F165=FALSE,'Расчет участников НИР'!$H175*(50%/2),IF(AND(F165=TRUE,G165=TRUE),'Расчет участников НИР'!$H175*'счеталка премий'!$T$6,'Расчет участников НИР'!$H175*(50%/3)))),0)</f>
        <v>0</v>
      </c>
      <c r="J165" s="741">
        <f>IF(F165=TRUE,IF(AND(D165=FALSE,E165=FALSE),'Расчет участников НИР'!$H175*(20%),IF(D165=FALSE,'Расчет участников НИР'!$H175*(10%),IF(G165=FALSE,'Расчет участников НИР'!$H175*(50%/3),'Расчет участников НИР'!$H175*'счеталка премий'!$T$6))),0)</f>
        <v>0</v>
      </c>
      <c r="K165" s="741">
        <f>IF(G165=TRUE,IF(AND(D165=FALSE,E165=FALSE,F165=FALSE),'Расчет участников НИР'!$H175*(50%),'Расчет участников НИР'!$H175*'счеталка премий'!$T$7),0)</f>
        <v>0</v>
      </c>
      <c r="L165" s="741">
        <f t="shared" si="20"/>
        <v>0</v>
      </c>
      <c r="M165" s="741">
        <f>'Расчет участников НИР'!H175</f>
        <v>0</v>
      </c>
      <c r="O165" s="747" t="e">
        <f t="shared" si="21"/>
        <v>#DIV/0!</v>
      </c>
      <c r="P165" s="747" t="e">
        <f t="shared" si="21"/>
        <v>#DIV/0!</v>
      </c>
      <c r="Q165" s="747" t="e">
        <f t="shared" si="21"/>
        <v>#DIV/0!</v>
      </c>
      <c r="R165" s="747" t="e">
        <f t="shared" si="21"/>
        <v>#DIV/0!</v>
      </c>
    </row>
    <row r="166" spans="1:18" x14ac:dyDescent="0.25">
      <c r="A166" s="745">
        <f>'Состав ВТК'!B169</f>
        <v>0</v>
      </c>
      <c r="B166" s="739">
        <f>'Состав ВТК'!L169</f>
        <v>0</v>
      </c>
      <c r="C166" s="739">
        <f>'Состав ВТК'!M169</f>
        <v>0</v>
      </c>
      <c r="D166" s="746" t="b">
        <f t="shared" si="16"/>
        <v>0</v>
      </c>
      <c r="E166" s="746" t="b">
        <f t="shared" si="17"/>
        <v>0</v>
      </c>
      <c r="F166" s="746" t="b">
        <f t="shared" si="18"/>
        <v>0</v>
      </c>
      <c r="G166" s="746" t="b">
        <f t="shared" si="19"/>
        <v>0</v>
      </c>
      <c r="H166" s="741">
        <f>IF(D166=TRUE,IF(E166=FALSE,'Расчет участников НИР'!$H176*(50%/1),IF(AND(E166=TRUE,F166=TRUE,G166=TRUE),'Расчет участников НИР'!$H176*'счеталка премий'!$T$6,IF(AND(E166=TRUE,F166=TRUE),'Расчет участников НИР'!$H176*(50%/3),'Расчет участников НИР'!$H176*(50%/2)))),0)</f>
        <v>0</v>
      </c>
      <c r="I166" s="741">
        <f>IF(E166=TRUE,IF(D166=FALSE,'Расчет участников НИР'!$H176*(10%),IF(F166=FALSE,'Расчет участников НИР'!$H176*(50%/2),IF(AND(F166=TRUE,G166=TRUE),'Расчет участников НИР'!$H176*'счеталка премий'!$T$6,'Расчет участников НИР'!$H176*(50%/3)))),0)</f>
        <v>0</v>
      </c>
      <c r="J166" s="741">
        <f>IF(F166=TRUE,IF(AND(D166=FALSE,E166=FALSE),'Расчет участников НИР'!$H176*(20%),IF(D166=FALSE,'Расчет участников НИР'!$H176*(10%),IF(G166=FALSE,'Расчет участников НИР'!$H176*(50%/3),'Расчет участников НИР'!$H176*'счеталка премий'!$T$6))),0)</f>
        <v>0</v>
      </c>
      <c r="K166" s="741">
        <f>IF(G166=TRUE,IF(AND(D166=FALSE,E166=FALSE,F166=FALSE),'Расчет участников НИР'!$H176*(50%),'Расчет участников НИР'!$H176*'счеталка премий'!$T$7),0)</f>
        <v>0</v>
      </c>
      <c r="L166" s="741">
        <f t="shared" si="20"/>
        <v>0</v>
      </c>
      <c r="M166" s="741">
        <f>'Расчет участников НИР'!H176</f>
        <v>0</v>
      </c>
      <c r="O166" s="747" t="e">
        <f t="shared" si="21"/>
        <v>#DIV/0!</v>
      </c>
      <c r="P166" s="747" t="e">
        <f t="shared" si="21"/>
        <v>#DIV/0!</v>
      </c>
      <c r="Q166" s="747" t="e">
        <f t="shared" si="21"/>
        <v>#DIV/0!</v>
      </c>
      <c r="R166" s="747" t="e">
        <f t="shared" si="21"/>
        <v>#DIV/0!</v>
      </c>
    </row>
    <row r="167" spans="1:18" x14ac:dyDescent="0.25">
      <c r="A167" s="745">
        <f>'Состав ВТК'!B170</f>
        <v>0</v>
      </c>
      <c r="B167" s="739">
        <f>'Состав ВТК'!L170</f>
        <v>0</v>
      </c>
      <c r="C167" s="739">
        <f>'Состав ВТК'!M170</f>
        <v>0</v>
      </c>
      <c r="D167" s="746" t="b">
        <f t="shared" si="16"/>
        <v>0</v>
      </c>
      <c r="E167" s="746" t="b">
        <f t="shared" si="17"/>
        <v>0</v>
      </c>
      <c r="F167" s="746" t="b">
        <f t="shared" si="18"/>
        <v>0</v>
      </c>
      <c r="G167" s="746" t="b">
        <f t="shared" si="19"/>
        <v>0</v>
      </c>
      <c r="H167" s="741">
        <f>IF(D167=TRUE,IF(E167=FALSE,'Расчет участников НИР'!$H177*(50%/1),IF(AND(E167=TRUE,F167=TRUE,G167=TRUE),'Расчет участников НИР'!$H177*'счеталка премий'!$T$6,IF(AND(E167=TRUE,F167=TRUE),'Расчет участников НИР'!$H177*(50%/3),'Расчет участников НИР'!$H177*(50%/2)))),0)</f>
        <v>0</v>
      </c>
      <c r="I167" s="741">
        <f>IF(E167=TRUE,IF(D167=FALSE,'Расчет участников НИР'!$H177*(10%),IF(F167=FALSE,'Расчет участников НИР'!$H177*(50%/2),IF(AND(F167=TRUE,G167=TRUE),'Расчет участников НИР'!$H177*'счеталка премий'!$T$6,'Расчет участников НИР'!$H177*(50%/3)))),0)</f>
        <v>0</v>
      </c>
      <c r="J167" s="741">
        <f>IF(F167=TRUE,IF(AND(D167=FALSE,E167=FALSE),'Расчет участников НИР'!$H177*(20%),IF(D167=FALSE,'Расчет участников НИР'!$H177*(10%),IF(G167=FALSE,'Расчет участников НИР'!$H177*(50%/3),'Расчет участников НИР'!$H177*'счеталка премий'!$T$6))),0)</f>
        <v>0</v>
      </c>
      <c r="K167" s="741">
        <f>IF(G167=TRUE,IF(AND(D167=FALSE,E167=FALSE,F167=FALSE),'Расчет участников НИР'!$H177*(50%),'Расчет участников НИР'!$H177*'счеталка премий'!$T$7),0)</f>
        <v>0</v>
      </c>
      <c r="L167" s="741">
        <f t="shared" si="20"/>
        <v>0</v>
      </c>
      <c r="M167" s="741">
        <f>'Расчет участников НИР'!H177</f>
        <v>0</v>
      </c>
      <c r="O167" s="747" t="e">
        <f t="shared" si="21"/>
        <v>#DIV/0!</v>
      </c>
      <c r="P167" s="747" t="e">
        <f t="shared" si="21"/>
        <v>#DIV/0!</v>
      </c>
      <c r="Q167" s="747" t="e">
        <f t="shared" si="21"/>
        <v>#DIV/0!</v>
      </c>
      <c r="R167" s="747" t="e">
        <f t="shared" si="21"/>
        <v>#DIV/0!</v>
      </c>
    </row>
    <row r="168" spans="1:18" x14ac:dyDescent="0.25">
      <c r="A168" s="745">
        <f>'Состав ВТК'!B171</f>
        <v>0</v>
      </c>
      <c r="B168" s="739">
        <f>'Состав ВТК'!L171</f>
        <v>0</v>
      </c>
      <c r="C168" s="739">
        <f>'Состав ВТК'!M171</f>
        <v>0</v>
      </c>
      <c r="D168" s="746" t="b">
        <f t="shared" si="16"/>
        <v>0</v>
      </c>
      <c r="E168" s="746" t="b">
        <f t="shared" si="17"/>
        <v>0</v>
      </c>
      <c r="F168" s="746" t="b">
        <f t="shared" si="18"/>
        <v>0</v>
      </c>
      <c r="G168" s="746" t="b">
        <f t="shared" si="19"/>
        <v>0</v>
      </c>
      <c r="H168" s="741">
        <f>IF(D168=TRUE,IF(E168=FALSE,'Расчет участников НИР'!$H178*(50%/1),IF(AND(E168=TRUE,F168=TRUE,G168=TRUE),'Расчет участников НИР'!$H178*'счеталка премий'!$T$6,IF(AND(E168=TRUE,F168=TRUE),'Расчет участников НИР'!$H178*(50%/3),'Расчет участников НИР'!$H178*(50%/2)))),0)</f>
        <v>0</v>
      </c>
      <c r="I168" s="741">
        <f>IF(E168=TRUE,IF(D168=FALSE,'Расчет участников НИР'!$H178*(10%),IF(F168=FALSE,'Расчет участников НИР'!$H178*(50%/2),IF(AND(F168=TRUE,G168=TRUE),'Расчет участников НИР'!$H178*'счеталка премий'!$T$6,'Расчет участников НИР'!$H178*(50%/3)))),0)</f>
        <v>0</v>
      </c>
      <c r="J168" s="741">
        <f>IF(F168=TRUE,IF(AND(D168=FALSE,E168=FALSE),'Расчет участников НИР'!$H178*(20%),IF(D168=FALSE,'Расчет участников НИР'!$H178*(10%),IF(G168=FALSE,'Расчет участников НИР'!$H178*(50%/3),'Расчет участников НИР'!$H178*'счеталка премий'!$T$6))),0)</f>
        <v>0</v>
      </c>
      <c r="K168" s="741">
        <f>IF(G168=TRUE,IF(AND(D168=FALSE,E168=FALSE,F168=FALSE),'Расчет участников НИР'!$H178*(50%),'Расчет участников НИР'!$H178*'счеталка премий'!$T$7),0)</f>
        <v>0</v>
      </c>
      <c r="L168" s="741">
        <f t="shared" si="20"/>
        <v>0</v>
      </c>
      <c r="M168" s="741">
        <f>'Расчет участников НИР'!H178</f>
        <v>0</v>
      </c>
      <c r="O168" s="747" t="e">
        <f t="shared" si="21"/>
        <v>#DIV/0!</v>
      </c>
      <c r="P168" s="747" t="e">
        <f t="shared" si="21"/>
        <v>#DIV/0!</v>
      </c>
      <c r="Q168" s="747" t="e">
        <f t="shared" si="21"/>
        <v>#DIV/0!</v>
      </c>
      <c r="R168" s="747" t="e">
        <f t="shared" si="21"/>
        <v>#DIV/0!</v>
      </c>
    </row>
    <row r="169" spans="1:18" x14ac:dyDescent="0.25">
      <c r="A169" s="745">
        <f>'Состав ВТК'!B172</f>
        <v>0</v>
      </c>
      <c r="B169" s="739">
        <f>'Состав ВТК'!L172</f>
        <v>0</v>
      </c>
      <c r="C169" s="739">
        <f>'Состав ВТК'!M172</f>
        <v>0</v>
      </c>
      <c r="D169" s="746" t="b">
        <f t="shared" si="16"/>
        <v>0</v>
      </c>
      <c r="E169" s="746" t="b">
        <f t="shared" si="17"/>
        <v>0</v>
      </c>
      <c r="F169" s="746" t="b">
        <f t="shared" si="18"/>
        <v>0</v>
      </c>
      <c r="G169" s="746" t="b">
        <f t="shared" si="19"/>
        <v>0</v>
      </c>
      <c r="H169" s="741">
        <f>IF(D169=TRUE,IF(E169=FALSE,'Расчет участников НИР'!$H179*(50%/1),IF(AND(E169=TRUE,F169=TRUE,G169=TRUE),'Расчет участников НИР'!$H179*'счеталка премий'!$T$6,IF(AND(E169=TRUE,F169=TRUE),'Расчет участников НИР'!$H179*(50%/3),'Расчет участников НИР'!$H179*(50%/2)))),0)</f>
        <v>0</v>
      </c>
      <c r="I169" s="741">
        <f>IF(E169=TRUE,IF(D169=FALSE,'Расчет участников НИР'!$H179*(10%),IF(F169=FALSE,'Расчет участников НИР'!$H179*(50%/2),IF(AND(F169=TRUE,G169=TRUE),'Расчет участников НИР'!$H179*'счеталка премий'!$T$6,'Расчет участников НИР'!$H179*(50%/3)))),0)</f>
        <v>0</v>
      </c>
      <c r="J169" s="741">
        <f>IF(F169=TRUE,IF(AND(D169=FALSE,E169=FALSE),'Расчет участников НИР'!$H179*(20%),IF(D169=FALSE,'Расчет участников НИР'!$H179*(10%),IF(G169=FALSE,'Расчет участников НИР'!$H179*(50%/3),'Расчет участников НИР'!$H179*'счеталка премий'!$T$6))),0)</f>
        <v>0</v>
      </c>
      <c r="K169" s="741">
        <f>IF(G169=TRUE,IF(AND(D169=FALSE,E169=FALSE,F169=FALSE),'Расчет участников НИР'!$H179*(50%),'Расчет участников НИР'!$H179*'счеталка премий'!$T$7),0)</f>
        <v>0</v>
      </c>
      <c r="L169" s="741">
        <f t="shared" si="20"/>
        <v>0</v>
      </c>
      <c r="M169" s="741">
        <f>'Расчет участников НИР'!H179</f>
        <v>0</v>
      </c>
      <c r="O169" s="747" t="e">
        <f t="shared" si="21"/>
        <v>#DIV/0!</v>
      </c>
      <c r="P169" s="747" t="e">
        <f t="shared" si="21"/>
        <v>#DIV/0!</v>
      </c>
      <c r="Q169" s="747" t="e">
        <f t="shared" si="21"/>
        <v>#DIV/0!</v>
      </c>
      <c r="R169" s="747" t="e">
        <f t="shared" si="21"/>
        <v>#DIV/0!</v>
      </c>
    </row>
    <row r="170" spans="1:18" x14ac:dyDescent="0.25">
      <c r="A170" s="745">
        <f>'Состав ВТК'!B173</f>
        <v>0</v>
      </c>
      <c r="B170" s="739">
        <f>'Состав ВТК'!L173</f>
        <v>0</v>
      </c>
      <c r="C170" s="739">
        <f>'Состав ВТК'!M173</f>
        <v>0</v>
      </c>
      <c r="D170" s="746" t="b">
        <f t="shared" si="16"/>
        <v>0</v>
      </c>
      <c r="E170" s="746" t="b">
        <f t="shared" si="17"/>
        <v>0</v>
      </c>
      <c r="F170" s="746" t="b">
        <f t="shared" si="18"/>
        <v>0</v>
      </c>
      <c r="G170" s="746" t="b">
        <f t="shared" si="19"/>
        <v>0</v>
      </c>
      <c r="H170" s="741">
        <f>IF(D170=TRUE,IF(E170=FALSE,'Расчет участников НИР'!$H180*(50%/1),IF(AND(E170=TRUE,F170=TRUE,G170=TRUE),'Расчет участников НИР'!$H180*'счеталка премий'!$T$6,IF(AND(E170=TRUE,F170=TRUE),'Расчет участников НИР'!$H180*(50%/3),'Расчет участников НИР'!$H180*(50%/2)))),0)</f>
        <v>0</v>
      </c>
      <c r="I170" s="741">
        <f>IF(E170=TRUE,IF(D170=FALSE,'Расчет участников НИР'!$H180*(10%),IF(F170=FALSE,'Расчет участников НИР'!$H180*(50%/2),IF(AND(F170=TRUE,G170=TRUE),'Расчет участников НИР'!$H180*'счеталка премий'!$T$6,'Расчет участников НИР'!$H180*(50%/3)))),0)</f>
        <v>0</v>
      </c>
      <c r="J170" s="741">
        <f>IF(F170=TRUE,IF(AND(D170=FALSE,E170=FALSE),'Расчет участников НИР'!$H180*(20%),IF(D170=FALSE,'Расчет участников НИР'!$H180*(10%),IF(G170=FALSE,'Расчет участников НИР'!$H180*(50%/3),'Расчет участников НИР'!$H180*'счеталка премий'!$T$6))),0)</f>
        <v>0</v>
      </c>
      <c r="K170" s="741">
        <f>IF(G170=TRUE,IF(AND(D170=FALSE,E170=FALSE,F170=FALSE),'Расчет участников НИР'!$H180*(50%),'Расчет участников НИР'!$H180*'счеталка премий'!$T$7),0)</f>
        <v>0</v>
      </c>
      <c r="L170" s="741">
        <f t="shared" si="20"/>
        <v>0</v>
      </c>
      <c r="M170" s="741">
        <f>'Расчет участников НИР'!H180</f>
        <v>0</v>
      </c>
      <c r="O170" s="747" t="e">
        <f t="shared" si="21"/>
        <v>#DIV/0!</v>
      </c>
      <c r="P170" s="747" t="e">
        <f t="shared" si="21"/>
        <v>#DIV/0!</v>
      </c>
      <c r="Q170" s="747" t="e">
        <f t="shared" si="21"/>
        <v>#DIV/0!</v>
      </c>
      <c r="R170" s="747" t="e">
        <f t="shared" si="21"/>
        <v>#DIV/0!</v>
      </c>
    </row>
    <row r="171" spans="1:18" x14ac:dyDescent="0.25">
      <c r="A171" s="745">
        <f>'Состав ВТК'!B174</f>
        <v>0</v>
      </c>
      <c r="B171" s="739">
        <f>'Состав ВТК'!L174</f>
        <v>0</v>
      </c>
      <c r="C171" s="739">
        <f>'Состав ВТК'!M174</f>
        <v>0</v>
      </c>
      <c r="D171" s="746" t="b">
        <f t="shared" si="16"/>
        <v>0</v>
      </c>
      <c r="E171" s="746" t="b">
        <f t="shared" si="17"/>
        <v>0</v>
      </c>
      <c r="F171" s="746" t="b">
        <f t="shared" si="18"/>
        <v>0</v>
      </c>
      <c r="G171" s="746" t="b">
        <f t="shared" si="19"/>
        <v>0</v>
      </c>
      <c r="H171" s="741">
        <f>IF(D171=TRUE,IF(E171=FALSE,'Расчет участников НИР'!$H181*(50%/1),IF(AND(E171=TRUE,F171=TRUE,G171=TRUE),'Расчет участников НИР'!$H181*'счеталка премий'!$T$6,IF(AND(E171=TRUE,F171=TRUE),'Расчет участников НИР'!$H181*(50%/3),'Расчет участников НИР'!$H181*(50%/2)))),0)</f>
        <v>0</v>
      </c>
      <c r="I171" s="741">
        <f>IF(E171=TRUE,IF(D171=FALSE,'Расчет участников НИР'!$H181*(10%),IF(F171=FALSE,'Расчет участников НИР'!$H181*(50%/2),IF(AND(F171=TRUE,G171=TRUE),'Расчет участников НИР'!$H181*'счеталка премий'!$T$6,'Расчет участников НИР'!$H181*(50%/3)))),0)</f>
        <v>0</v>
      </c>
      <c r="J171" s="741">
        <f>IF(F171=TRUE,IF(AND(D171=FALSE,E171=FALSE),'Расчет участников НИР'!$H181*(20%),IF(D171=FALSE,'Расчет участников НИР'!$H181*(10%),IF(G171=FALSE,'Расчет участников НИР'!$H181*(50%/3),'Расчет участников НИР'!$H181*'счеталка премий'!$T$6))),0)</f>
        <v>0</v>
      </c>
      <c r="K171" s="741">
        <f>IF(G171=TRUE,IF(AND(D171=FALSE,E171=FALSE,F171=FALSE),'Расчет участников НИР'!$H181*(50%),'Расчет участников НИР'!$H181*'счеталка премий'!$T$7),0)</f>
        <v>0</v>
      </c>
      <c r="L171" s="741">
        <f t="shared" si="20"/>
        <v>0</v>
      </c>
      <c r="M171" s="741">
        <f>'Расчет участников НИР'!H181</f>
        <v>0</v>
      </c>
      <c r="O171" s="747" t="e">
        <f t="shared" si="21"/>
        <v>#DIV/0!</v>
      </c>
      <c r="P171" s="747" t="e">
        <f t="shared" si="21"/>
        <v>#DIV/0!</v>
      </c>
      <c r="Q171" s="747" t="e">
        <f t="shared" si="21"/>
        <v>#DIV/0!</v>
      </c>
      <c r="R171" s="747" t="e">
        <f t="shared" si="21"/>
        <v>#DIV/0!</v>
      </c>
    </row>
    <row r="172" spans="1:18" x14ac:dyDescent="0.25">
      <c r="A172" s="745">
        <f>'Состав ВТК'!B175</f>
        <v>0</v>
      </c>
      <c r="B172" s="739">
        <f>'Состав ВТК'!L175</f>
        <v>0</v>
      </c>
      <c r="C172" s="739">
        <f>'Состав ВТК'!M175</f>
        <v>0</v>
      </c>
      <c r="D172" s="746" t="b">
        <f t="shared" si="16"/>
        <v>0</v>
      </c>
      <c r="E172" s="746" t="b">
        <f t="shared" si="17"/>
        <v>0</v>
      </c>
      <c r="F172" s="746" t="b">
        <f t="shared" si="18"/>
        <v>0</v>
      </c>
      <c r="G172" s="746" t="b">
        <f t="shared" si="19"/>
        <v>0</v>
      </c>
      <c r="H172" s="741">
        <f>IF(D172=TRUE,IF(E172=FALSE,'Расчет участников НИР'!$H182*(50%/1),IF(AND(E172=TRUE,F172=TRUE,G172=TRUE),'Расчет участников НИР'!$H182*'счеталка премий'!$T$6,IF(AND(E172=TRUE,F172=TRUE),'Расчет участников НИР'!$H182*(50%/3),'Расчет участников НИР'!$H182*(50%/2)))),0)</f>
        <v>0</v>
      </c>
      <c r="I172" s="741">
        <f>IF(E172=TRUE,IF(D172=FALSE,'Расчет участников НИР'!$H182*(10%),IF(F172=FALSE,'Расчет участников НИР'!$H182*(50%/2),IF(AND(F172=TRUE,G172=TRUE),'Расчет участников НИР'!$H182*'счеталка премий'!$T$6,'Расчет участников НИР'!$H182*(50%/3)))),0)</f>
        <v>0</v>
      </c>
      <c r="J172" s="741">
        <f>IF(F172=TRUE,IF(AND(D172=FALSE,E172=FALSE),'Расчет участников НИР'!$H182*(20%),IF(D172=FALSE,'Расчет участников НИР'!$H182*(10%),IF(G172=FALSE,'Расчет участников НИР'!$H182*(50%/3),'Расчет участников НИР'!$H182*'счеталка премий'!$T$6))),0)</f>
        <v>0</v>
      </c>
      <c r="K172" s="741">
        <f>IF(G172=TRUE,IF(AND(D172=FALSE,E172=FALSE,F172=FALSE),'Расчет участников НИР'!$H182*(50%),'Расчет участников НИР'!$H182*'счеталка премий'!$T$7),0)</f>
        <v>0</v>
      </c>
      <c r="L172" s="741">
        <f t="shared" si="20"/>
        <v>0</v>
      </c>
      <c r="M172" s="741">
        <f>'Расчет участников НИР'!H182</f>
        <v>0</v>
      </c>
      <c r="O172" s="747" t="e">
        <f t="shared" si="21"/>
        <v>#DIV/0!</v>
      </c>
      <c r="P172" s="747" t="e">
        <f t="shared" si="21"/>
        <v>#DIV/0!</v>
      </c>
      <c r="Q172" s="747" t="e">
        <f t="shared" si="21"/>
        <v>#DIV/0!</v>
      </c>
      <c r="R172" s="747" t="e">
        <f t="shared" si="21"/>
        <v>#DIV/0!</v>
      </c>
    </row>
    <row r="173" spans="1:18" x14ac:dyDescent="0.25">
      <c r="A173" s="745">
        <f>'Состав ВТК'!B176</f>
        <v>0</v>
      </c>
      <c r="B173" s="739">
        <f>'Состав ВТК'!L176</f>
        <v>0</v>
      </c>
      <c r="C173" s="739">
        <f>'Состав ВТК'!M176</f>
        <v>0</v>
      </c>
      <c r="D173" s="746" t="b">
        <f t="shared" si="16"/>
        <v>0</v>
      </c>
      <c r="E173" s="746" t="b">
        <f t="shared" si="17"/>
        <v>0</v>
      </c>
      <c r="F173" s="746" t="b">
        <f t="shared" si="18"/>
        <v>0</v>
      </c>
      <c r="G173" s="746" t="b">
        <f t="shared" si="19"/>
        <v>0</v>
      </c>
      <c r="H173" s="741">
        <f>IF(D173=TRUE,IF(E173=FALSE,'Расчет участников НИР'!$H183*(50%/1),IF(AND(E173=TRUE,F173=TRUE,G173=TRUE),'Расчет участников НИР'!$H183*'счеталка премий'!$T$6,IF(AND(E173=TRUE,F173=TRUE),'Расчет участников НИР'!$H183*(50%/3),'Расчет участников НИР'!$H183*(50%/2)))),0)</f>
        <v>0</v>
      </c>
      <c r="I173" s="741">
        <f>IF(E173=TRUE,IF(D173=FALSE,'Расчет участников НИР'!$H183*(10%),IF(F173=FALSE,'Расчет участников НИР'!$H183*(50%/2),IF(AND(F173=TRUE,G173=TRUE),'Расчет участников НИР'!$H183*'счеталка премий'!$T$6,'Расчет участников НИР'!$H183*(50%/3)))),0)</f>
        <v>0</v>
      </c>
      <c r="J173" s="741">
        <f>IF(F173=TRUE,IF(AND(D173=FALSE,E173=FALSE),'Расчет участников НИР'!$H183*(20%),IF(D173=FALSE,'Расчет участников НИР'!$H183*(10%),IF(G173=FALSE,'Расчет участников НИР'!$H183*(50%/3),'Расчет участников НИР'!$H183*'счеталка премий'!$T$6))),0)</f>
        <v>0</v>
      </c>
      <c r="K173" s="741">
        <f>IF(G173=TRUE,IF(AND(D173=FALSE,E173=FALSE,F173=FALSE),'Расчет участников НИР'!$H183*(50%),'Расчет участников НИР'!$H183*'счеталка премий'!$T$7),0)</f>
        <v>0</v>
      </c>
      <c r="L173" s="741">
        <f t="shared" si="20"/>
        <v>0</v>
      </c>
      <c r="M173" s="741">
        <f>'Расчет участников НИР'!H183</f>
        <v>0</v>
      </c>
      <c r="O173" s="747" t="e">
        <f t="shared" si="21"/>
        <v>#DIV/0!</v>
      </c>
      <c r="P173" s="747" t="e">
        <f t="shared" si="21"/>
        <v>#DIV/0!</v>
      </c>
      <c r="Q173" s="747" t="e">
        <f t="shared" si="21"/>
        <v>#DIV/0!</v>
      </c>
      <c r="R173" s="747" t="e">
        <f t="shared" si="21"/>
        <v>#DIV/0!</v>
      </c>
    </row>
    <row r="174" spans="1:18" x14ac:dyDescent="0.25">
      <c r="A174" s="745">
        <f>'Состав ВТК'!B177</f>
        <v>0</v>
      </c>
      <c r="B174" s="739">
        <f>'Состав ВТК'!L177</f>
        <v>0</v>
      </c>
      <c r="C174" s="739">
        <f>'Состав ВТК'!M177</f>
        <v>0</v>
      </c>
      <c r="D174" s="746" t="b">
        <f t="shared" si="16"/>
        <v>0</v>
      </c>
      <c r="E174" s="746" t="b">
        <f t="shared" si="17"/>
        <v>0</v>
      </c>
      <c r="F174" s="746" t="b">
        <f t="shared" si="18"/>
        <v>0</v>
      </c>
      <c r="G174" s="746" t="b">
        <f t="shared" si="19"/>
        <v>0</v>
      </c>
      <c r="H174" s="741">
        <f>IF(D174=TRUE,IF(E174=FALSE,'Расчет участников НИР'!$H184*(50%/1),IF(AND(E174=TRUE,F174=TRUE,G174=TRUE),'Расчет участников НИР'!$H184*'счеталка премий'!$T$6,IF(AND(E174=TRUE,F174=TRUE),'Расчет участников НИР'!$H184*(50%/3),'Расчет участников НИР'!$H184*(50%/2)))),0)</f>
        <v>0</v>
      </c>
      <c r="I174" s="741">
        <f>IF(E174=TRUE,IF(D174=FALSE,'Расчет участников НИР'!$H184*(10%),IF(F174=FALSE,'Расчет участников НИР'!$H184*(50%/2),IF(AND(F174=TRUE,G174=TRUE),'Расчет участников НИР'!$H184*'счеталка премий'!$T$6,'Расчет участников НИР'!$H184*(50%/3)))),0)</f>
        <v>0</v>
      </c>
      <c r="J174" s="741">
        <f>IF(F174=TRUE,IF(AND(D174=FALSE,E174=FALSE),'Расчет участников НИР'!$H184*(20%),IF(D174=FALSE,'Расчет участников НИР'!$H184*(10%),IF(G174=FALSE,'Расчет участников НИР'!$H184*(50%/3),'Расчет участников НИР'!$H184*'счеталка премий'!$T$6))),0)</f>
        <v>0</v>
      </c>
      <c r="K174" s="741">
        <f>IF(G174=TRUE,IF(AND(D174=FALSE,E174=FALSE,F174=FALSE),'Расчет участников НИР'!$H184*(50%),'Расчет участников НИР'!$H184*'счеталка премий'!$T$7),0)</f>
        <v>0</v>
      </c>
      <c r="L174" s="741">
        <f t="shared" si="20"/>
        <v>0</v>
      </c>
      <c r="M174" s="741">
        <f>'Расчет участников НИР'!H184</f>
        <v>0</v>
      </c>
      <c r="O174" s="747" t="e">
        <f t="shared" si="21"/>
        <v>#DIV/0!</v>
      </c>
      <c r="P174" s="747" t="e">
        <f t="shared" si="21"/>
        <v>#DIV/0!</v>
      </c>
      <c r="Q174" s="747" t="e">
        <f t="shared" si="21"/>
        <v>#DIV/0!</v>
      </c>
      <c r="R174" s="747" t="e">
        <f t="shared" si="21"/>
        <v>#DIV/0!</v>
      </c>
    </row>
    <row r="175" spans="1:18" x14ac:dyDescent="0.25">
      <c r="A175" s="745">
        <f>'Состав ВТК'!B178</f>
        <v>0</v>
      </c>
      <c r="B175" s="739">
        <f>'Состав ВТК'!L178</f>
        <v>0</v>
      </c>
      <c r="C175" s="739">
        <f>'Состав ВТК'!M178</f>
        <v>0</v>
      </c>
      <c r="D175" s="746" t="b">
        <f t="shared" si="16"/>
        <v>0</v>
      </c>
      <c r="E175" s="746" t="b">
        <f t="shared" si="17"/>
        <v>0</v>
      </c>
      <c r="F175" s="746" t="b">
        <f t="shared" si="18"/>
        <v>0</v>
      </c>
      <c r="G175" s="746" t="b">
        <f t="shared" si="19"/>
        <v>0</v>
      </c>
      <c r="H175" s="741">
        <f>IF(D175=TRUE,IF(E175=FALSE,'Расчет участников НИР'!$H185*(50%/1),IF(AND(E175=TRUE,F175=TRUE,G175=TRUE),'Расчет участников НИР'!$H185*'счеталка премий'!$T$6,IF(AND(E175=TRUE,F175=TRUE),'Расчет участников НИР'!$H185*(50%/3),'Расчет участников НИР'!$H185*(50%/2)))),0)</f>
        <v>0</v>
      </c>
      <c r="I175" s="741">
        <f>IF(E175=TRUE,IF(D175=FALSE,'Расчет участников НИР'!$H185*(10%),IF(F175=FALSE,'Расчет участников НИР'!$H185*(50%/2),IF(AND(F175=TRUE,G175=TRUE),'Расчет участников НИР'!$H185*'счеталка премий'!$T$6,'Расчет участников НИР'!$H185*(50%/3)))),0)</f>
        <v>0</v>
      </c>
      <c r="J175" s="741">
        <f>IF(F175=TRUE,IF(AND(D175=FALSE,E175=FALSE),'Расчет участников НИР'!$H185*(20%),IF(D175=FALSE,'Расчет участников НИР'!$H185*(10%),IF(G175=FALSE,'Расчет участников НИР'!$H185*(50%/3),'Расчет участников НИР'!$H185*'счеталка премий'!$T$6))),0)</f>
        <v>0</v>
      </c>
      <c r="K175" s="741">
        <f>IF(G175=TRUE,IF(AND(D175=FALSE,E175=FALSE,F175=FALSE),'Расчет участников НИР'!$H185*(50%),'Расчет участников НИР'!$H185*'счеталка премий'!$T$7),0)</f>
        <v>0</v>
      </c>
      <c r="L175" s="741">
        <f t="shared" si="20"/>
        <v>0</v>
      </c>
      <c r="M175" s="741">
        <f>'Расчет участников НИР'!H185</f>
        <v>0</v>
      </c>
      <c r="O175" s="747" t="e">
        <f t="shared" si="21"/>
        <v>#DIV/0!</v>
      </c>
      <c r="P175" s="747" t="e">
        <f t="shared" si="21"/>
        <v>#DIV/0!</v>
      </c>
      <c r="Q175" s="747" t="e">
        <f t="shared" si="21"/>
        <v>#DIV/0!</v>
      </c>
      <c r="R175" s="747" t="e">
        <f t="shared" si="21"/>
        <v>#DIV/0!</v>
      </c>
    </row>
    <row r="176" spans="1:18" x14ac:dyDescent="0.25">
      <c r="A176" s="745">
        <f>'Состав ВТК'!B179</f>
        <v>0</v>
      </c>
      <c r="B176" s="739">
        <f>'Состав ВТК'!L179</f>
        <v>0</v>
      </c>
      <c r="C176" s="739">
        <f>'Состав ВТК'!M179</f>
        <v>0</v>
      </c>
      <c r="D176" s="746" t="b">
        <f t="shared" si="16"/>
        <v>0</v>
      </c>
      <c r="E176" s="746" t="b">
        <f t="shared" si="17"/>
        <v>0</v>
      </c>
      <c r="F176" s="746" t="b">
        <f t="shared" si="18"/>
        <v>0</v>
      </c>
      <c r="G176" s="746" t="b">
        <f t="shared" si="19"/>
        <v>0</v>
      </c>
      <c r="H176" s="741">
        <f>IF(D176=TRUE,IF(E176=FALSE,'Расчет участников НИР'!$H186*(50%/1),IF(AND(E176=TRUE,F176=TRUE,G176=TRUE),'Расчет участников НИР'!$H186*'счеталка премий'!$T$6,IF(AND(E176=TRUE,F176=TRUE),'Расчет участников НИР'!$H186*(50%/3),'Расчет участников НИР'!$H186*(50%/2)))),0)</f>
        <v>0</v>
      </c>
      <c r="I176" s="741">
        <f>IF(E176=TRUE,IF(D176=FALSE,'Расчет участников НИР'!$H186*(10%),IF(F176=FALSE,'Расчет участников НИР'!$H186*(50%/2),IF(AND(F176=TRUE,G176=TRUE),'Расчет участников НИР'!$H186*'счеталка премий'!$T$6,'Расчет участников НИР'!$H186*(50%/3)))),0)</f>
        <v>0</v>
      </c>
      <c r="J176" s="741">
        <f>IF(F176=TRUE,IF(AND(D176=FALSE,E176=FALSE),'Расчет участников НИР'!$H186*(20%),IF(D176=FALSE,'Расчет участников НИР'!$H186*(10%),IF(G176=FALSE,'Расчет участников НИР'!$H186*(50%/3),'Расчет участников НИР'!$H186*'счеталка премий'!$T$6))),0)</f>
        <v>0</v>
      </c>
      <c r="K176" s="741">
        <f>IF(G176=TRUE,IF(AND(D176=FALSE,E176=FALSE,F176=FALSE),'Расчет участников НИР'!$H186*(50%),'Расчет участников НИР'!$H186*'счеталка премий'!$T$7),0)</f>
        <v>0</v>
      </c>
      <c r="L176" s="741">
        <f t="shared" si="20"/>
        <v>0</v>
      </c>
      <c r="M176" s="741">
        <f>'Расчет участников НИР'!H186</f>
        <v>0</v>
      </c>
      <c r="O176" s="747" t="e">
        <f t="shared" si="21"/>
        <v>#DIV/0!</v>
      </c>
      <c r="P176" s="747" t="e">
        <f t="shared" si="21"/>
        <v>#DIV/0!</v>
      </c>
      <c r="Q176" s="747" t="e">
        <f t="shared" si="21"/>
        <v>#DIV/0!</v>
      </c>
      <c r="R176" s="747" t="e">
        <f t="shared" si="21"/>
        <v>#DIV/0!</v>
      </c>
    </row>
    <row r="177" spans="1:18" x14ac:dyDescent="0.25">
      <c r="A177" s="745">
        <f>'Состав ВТК'!B180</f>
        <v>0</v>
      </c>
      <c r="B177" s="739">
        <f>'Состав ВТК'!L180</f>
        <v>0</v>
      </c>
      <c r="C177" s="739">
        <f>'Состав ВТК'!M180</f>
        <v>0</v>
      </c>
      <c r="D177" s="746" t="b">
        <f t="shared" si="16"/>
        <v>0</v>
      </c>
      <c r="E177" s="746" t="b">
        <f t="shared" si="17"/>
        <v>0</v>
      </c>
      <c r="F177" s="746" t="b">
        <f t="shared" si="18"/>
        <v>0</v>
      </c>
      <c r="G177" s="746" t="b">
        <f t="shared" si="19"/>
        <v>0</v>
      </c>
      <c r="H177" s="741">
        <f>IF(D177=TRUE,IF(E177=FALSE,'Расчет участников НИР'!$H187*(50%/1),IF(AND(E177=TRUE,F177=TRUE,G177=TRUE),'Расчет участников НИР'!$H187*'счеталка премий'!$T$6,IF(AND(E177=TRUE,F177=TRUE),'Расчет участников НИР'!$H187*(50%/3),'Расчет участников НИР'!$H187*(50%/2)))),0)</f>
        <v>0</v>
      </c>
      <c r="I177" s="741">
        <f>IF(E177=TRUE,IF(D177=FALSE,'Расчет участников НИР'!$H187*(10%),IF(F177=FALSE,'Расчет участников НИР'!$H187*(50%/2),IF(AND(F177=TRUE,G177=TRUE),'Расчет участников НИР'!$H187*'счеталка премий'!$T$6,'Расчет участников НИР'!$H187*(50%/3)))),0)</f>
        <v>0</v>
      </c>
      <c r="J177" s="741">
        <f>IF(F177=TRUE,IF(AND(D177=FALSE,E177=FALSE),'Расчет участников НИР'!$H187*(20%),IF(D177=FALSE,'Расчет участников НИР'!$H187*(10%),IF(G177=FALSE,'Расчет участников НИР'!$H187*(50%/3),'Расчет участников НИР'!$H187*'счеталка премий'!$T$6))),0)</f>
        <v>0</v>
      </c>
      <c r="K177" s="741">
        <f>IF(G177=TRUE,IF(AND(D177=FALSE,E177=FALSE,F177=FALSE),'Расчет участников НИР'!$H187*(50%),'Расчет участников НИР'!$H187*'счеталка премий'!$T$7),0)</f>
        <v>0</v>
      </c>
      <c r="L177" s="741">
        <f t="shared" si="20"/>
        <v>0</v>
      </c>
      <c r="M177" s="741">
        <f>'Расчет участников НИР'!H187</f>
        <v>0</v>
      </c>
      <c r="O177" s="747" t="e">
        <f t="shared" si="21"/>
        <v>#DIV/0!</v>
      </c>
      <c r="P177" s="747" t="e">
        <f t="shared" si="21"/>
        <v>#DIV/0!</v>
      </c>
      <c r="Q177" s="747" t="e">
        <f t="shared" si="21"/>
        <v>#DIV/0!</v>
      </c>
      <c r="R177" s="747" t="e">
        <f t="shared" si="21"/>
        <v>#DIV/0!</v>
      </c>
    </row>
    <row r="178" spans="1:18" x14ac:dyDescent="0.25">
      <c r="A178" s="745">
        <f>'Состав ВТК'!B181</f>
        <v>0</v>
      </c>
      <c r="B178" s="739">
        <f>'Состав ВТК'!L181</f>
        <v>0</v>
      </c>
      <c r="C178" s="739">
        <f>'Состав ВТК'!M181</f>
        <v>0</v>
      </c>
      <c r="D178" s="746" t="b">
        <f t="shared" si="16"/>
        <v>0</v>
      </c>
      <c r="E178" s="746" t="b">
        <f t="shared" si="17"/>
        <v>0</v>
      </c>
      <c r="F178" s="746" t="b">
        <f t="shared" si="18"/>
        <v>0</v>
      </c>
      <c r="G178" s="746" t="b">
        <f t="shared" si="19"/>
        <v>0</v>
      </c>
      <c r="H178" s="741">
        <f>IF(D178=TRUE,IF(E178=FALSE,'Расчет участников НИР'!$H188*(50%/1),IF(AND(E178=TRUE,F178=TRUE,G178=TRUE),'Расчет участников НИР'!$H188*'счеталка премий'!$T$6,IF(AND(E178=TRUE,F178=TRUE),'Расчет участников НИР'!$H188*(50%/3),'Расчет участников НИР'!$H188*(50%/2)))),0)</f>
        <v>0</v>
      </c>
      <c r="I178" s="741">
        <f>IF(E178=TRUE,IF(D178=FALSE,'Расчет участников НИР'!$H188*(10%),IF(F178=FALSE,'Расчет участников НИР'!$H188*(50%/2),IF(AND(F178=TRUE,G178=TRUE),'Расчет участников НИР'!$H188*'счеталка премий'!$T$6,'Расчет участников НИР'!$H188*(50%/3)))),0)</f>
        <v>0</v>
      </c>
      <c r="J178" s="741">
        <f>IF(F178=TRUE,IF(AND(D178=FALSE,E178=FALSE),'Расчет участников НИР'!$H188*(20%),IF(D178=FALSE,'Расчет участников НИР'!$H188*(10%),IF(G178=FALSE,'Расчет участников НИР'!$H188*(50%/3),'Расчет участников НИР'!$H188*'счеталка премий'!$T$6))),0)</f>
        <v>0</v>
      </c>
      <c r="K178" s="741">
        <f>IF(G178=TRUE,IF(AND(D178=FALSE,E178=FALSE,F178=FALSE),'Расчет участников НИР'!$H188*(50%),'Расчет участников НИР'!$H188*'счеталка премий'!$T$7),0)</f>
        <v>0</v>
      </c>
      <c r="L178" s="741">
        <f t="shared" si="20"/>
        <v>0</v>
      </c>
      <c r="M178" s="741">
        <f>'Расчет участников НИР'!H188</f>
        <v>0</v>
      </c>
      <c r="O178" s="747" t="e">
        <f t="shared" si="21"/>
        <v>#DIV/0!</v>
      </c>
      <c r="P178" s="747" t="e">
        <f t="shared" si="21"/>
        <v>#DIV/0!</v>
      </c>
      <c r="Q178" s="747" t="e">
        <f t="shared" si="21"/>
        <v>#DIV/0!</v>
      </c>
      <c r="R178" s="747" t="e">
        <f t="shared" si="21"/>
        <v>#DIV/0!</v>
      </c>
    </row>
    <row r="179" spans="1:18" x14ac:dyDescent="0.25">
      <c r="A179" s="745">
        <f>'Состав ВТК'!B182</f>
        <v>0</v>
      </c>
      <c r="B179" s="739">
        <f>'Состав ВТК'!L182</f>
        <v>0</v>
      </c>
      <c r="C179" s="739">
        <f>'Состав ВТК'!M182</f>
        <v>0</v>
      </c>
      <c r="D179" s="746" t="b">
        <f t="shared" si="16"/>
        <v>0</v>
      </c>
      <c r="E179" s="746" t="b">
        <f t="shared" si="17"/>
        <v>0</v>
      </c>
      <c r="F179" s="746" t="b">
        <f t="shared" si="18"/>
        <v>0</v>
      </c>
      <c r="G179" s="746" t="b">
        <f t="shared" si="19"/>
        <v>0</v>
      </c>
      <c r="H179" s="741">
        <f>IF(D179=TRUE,IF(E179=FALSE,'Расчет участников НИР'!$H189*(50%/1),IF(AND(E179=TRUE,F179=TRUE,G179=TRUE),'Расчет участников НИР'!$H189*'счеталка премий'!$T$6,IF(AND(E179=TRUE,F179=TRUE),'Расчет участников НИР'!$H189*(50%/3),'Расчет участников НИР'!$H189*(50%/2)))),0)</f>
        <v>0</v>
      </c>
      <c r="I179" s="741">
        <f>IF(E179=TRUE,IF(D179=FALSE,'Расчет участников НИР'!$H189*(10%),IF(F179=FALSE,'Расчет участников НИР'!$H189*(50%/2),IF(AND(F179=TRUE,G179=TRUE),'Расчет участников НИР'!$H189*'счеталка премий'!$T$6,'Расчет участников НИР'!$H189*(50%/3)))),0)</f>
        <v>0</v>
      </c>
      <c r="J179" s="741">
        <f>IF(F179=TRUE,IF(AND(D179=FALSE,E179=FALSE),'Расчет участников НИР'!$H189*(20%),IF(D179=FALSE,'Расчет участников НИР'!$H189*(10%),IF(G179=FALSE,'Расчет участников НИР'!$H189*(50%/3),'Расчет участников НИР'!$H189*'счеталка премий'!$T$6))),0)</f>
        <v>0</v>
      </c>
      <c r="K179" s="741">
        <f>IF(G179=TRUE,IF(AND(D179=FALSE,E179=FALSE,F179=FALSE),'Расчет участников НИР'!$H189*(50%),'Расчет участников НИР'!$H189*'счеталка премий'!$T$7),0)</f>
        <v>0</v>
      </c>
      <c r="L179" s="741">
        <f t="shared" si="20"/>
        <v>0</v>
      </c>
      <c r="M179" s="741">
        <f>'Расчет участников НИР'!H189</f>
        <v>0</v>
      </c>
      <c r="O179" s="747" t="e">
        <f t="shared" si="21"/>
        <v>#DIV/0!</v>
      </c>
      <c r="P179" s="747" t="e">
        <f t="shared" si="21"/>
        <v>#DIV/0!</v>
      </c>
      <c r="Q179" s="747" t="e">
        <f t="shared" si="21"/>
        <v>#DIV/0!</v>
      </c>
      <c r="R179" s="747" t="e">
        <f t="shared" si="21"/>
        <v>#DIV/0!</v>
      </c>
    </row>
    <row r="180" spans="1:18" x14ac:dyDescent="0.25">
      <c r="A180" s="745">
        <f>'Состав ВТК'!B183</f>
        <v>0</v>
      </c>
      <c r="B180" s="739">
        <f>'Состав ВТК'!L183</f>
        <v>0</v>
      </c>
      <c r="C180" s="739">
        <f>'Состав ВТК'!M183</f>
        <v>0</v>
      </c>
      <c r="D180" s="746" t="b">
        <f t="shared" si="16"/>
        <v>0</v>
      </c>
      <c r="E180" s="746" t="b">
        <f t="shared" si="17"/>
        <v>0</v>
      </c>
      <c r="F180" s="746" t="b">
        <f t="shared" si="18"/>
        <v>0</v>
      </c>
      <c r="G180" s="746" t="b">
        <f t="shared" si="19"/>
        <v>0</v>
      </c>
      <c r="H180" s="741">
        <f>IF(D180=TRUE,IF(E180=FALSE,'Расчет участников НИР'!$H190*(50%/1),IF(AND(E180=TRUE,F180=TRUE,G180=TRUE),'Расчет участников НИР'!$H190*'счеталка премий'!$T$6,IF(AND(E180=TRUE,F180=TRUE),'Расчет участников НИР'!$H190*(50%/3),'Расчет участников НИР'!$H190*(50%/2)))),0)</f>
        <v>0</v>
      </c>
      <c r="I180" s="741">
        <f>IF(E180=TRUE,IF(D180=FALSE,'Расчет участников НИР'!$H190*(10%),IF(F180=FALSE,'Расчет участников НИР'!$H190*(50%/2),IF(AND(F180=TRUE,G180=TRUE),'Расчет участников НИР'!$H190*'счеталка премий'!$T$6,'Расчет участников НИР'!$H190*(50%/3)))),0)</f>
        <v>0</v>
      </c>
      <c r="J180" s="741">
        <f>IF(F180=TRUE,IF(AND(D180=FALSE,E180=FALSE),'Расчет участников НИР'!$H190*(20%),IF(D180=FALSE,'Расчет участников НИР'!$H190*(10%),IF(G180=FALSE,'Расчет участников НИР'!$H190*(50%/3),'Расчет участников НИР'!$H190*'счеталка премий'!$T$6))),0)</f>
        <v>0</v>
      </c>
      <c r="K180" s="741">
        <f>IF(G180=TRUE,IF(AND(D180=FALSE,E180=FALSE,F180=FALSE),'Расчет участников НИР'!$H190*(50%),'Расчет участников НИР'!$H190*'счеталка премий'!$T$7),0)</f>
        <v>0</v>
      </c>
      <c r="L180" s="741">
        <f t="shared" si="20"/>
        <v>0</v>
      </c>
      <c r="M180" s="741">
        <f>'Расчет участников НИР'!H190</f>
        <v>0</v>
      </c>
      <c r="O180" s="747" t="e">
        <f t="shared" si="21"/>
        <v>#DIV/0!</v>
      </c>
      <c r="P180" s="747" t="e">
        <f t="shared" si="21"/>
        <v>#DIV/0!</v>
      </c>
      <c r="Q180" s="747" t="e">
        <f t="shared" si="21"/>
        <v>#DIV/0!</v>
      </c>
      <c r="R180" s="747" t="e">
        <f t="shared" si="21"/>
        <v>#DIV/0!</v>
      </c>
    </row>
    <row r="181" spans="1:18" x14ac:dyDescent="0.25">
      <c r="A181" s="745">
        <f>'Состав ВТК'!B184</f>
        <v>0</v>
      </c>
      <c r="B181" s="739">
        <f>'Состав ВТК'!L184</f>
        <v>0</v>
      </c>
      <c r="C181" s="739">
        <f>'Состав ВТК'!M184</f>
        <v>0</v>
      </c>
      <c r="D181" s="746" t="b">
        <f t="shared" si="16"/>
        <v>0</v>
      </c>
      <c r="E181" s="746" t="b">
        <f t="shared" si="17"/>
        <v>0</v>
      </c>
      <c r="F181" s="746" t="b">
        <f t="shared" si="18"/>
        <v>0</v>
      </c>
      <c r="G181" s="746" t="b">
        <f t="shared" si="19"/>
        <v>0</v>
      </c>
      <c r="H181" s="741">
        <f>IF(D181=TRUE,IF(E181=FALSE,'Расчет участников НИР'!$H191*(50%/1),IF(AND(E181=TRUE,F181=TRUE,G181=TRUE),'Расчет участников НИР'!$H191*'счеталка премий'!$T$6,IF(AND(E181=TRUE,F181=TRUE),'Расчет участников НИР'!$H191*(50%/3),'Расчет участников НИР'!$H191*(50%/2)))),0)</f>
        <v>0</v>
      </c>
      <c r="I181" s="741">
        <f>IF(E181=TRUE,IF(D181=FALSE,'Расчет участников НИР'!$H191*(10%),IF(F181=FALSE,'Расчет участников НИР'!$H191*(50%/2),IF(AND(F181=TRUE,G181=TRUE),'Расчет участников НИР'!$H191*'счеталка премий'!$T$6,'Расчет участников НИР'!$H191*(50%/3)))),0)</f>
        <v>0</v>
      </c>
      <c r="J181" s="741">
        <f>IF(F181=TRUE,IF(AND(D181=FALSE,E181=FALSE),'Расчет участников НИР'!$H191*(20%),IF(D181=FALSE,'Расчет участников НИР'!$H191*(10%),IF(G181=FALSE,'Расчет участников НИР'!$H191*(50%/3),'Расчет участников НИР'!$H191*'счеталка премий'!$T$6))),0)</f>
        <v>0</v>
      </c>
      <c r="K181" s="741">
        <f>IF(G181=TRUE,IF(AND(D181=FALSE,E181=FALSE,F181=FALSE),'Расчет участников НИР'!$H191*(50%),'Расчет участников НИР'!$H191*'счеталка премий'!$T$7),0)</f>
        <v>0</v>
      </c>
      <c r="L181" s="741">
        <f t="shared" si="20"/>
        <v>0</v>
      </c>
      <c r="M181" s="741">
        <f>'Расчет участников НИР'!H191</f>
        <v>0</v>
      </c>
      <c r="O181" s="747" t="e">
        <f t="shared" si="21"/>
        <v>#DIV/0!</v>
      </c>
      <c r="P181" s="747" t="e">
        <f t="shared" si="21"/>
        <v>#DIV/0!</v>
      </c>
      <c r="Q181" s="747" t="e">
        <f t="shared" si="21"/>
        <v>#DIV/0!</v>
      </c>
      <c r="R181" s="747" t="e">
        <f t="shared" si="21"/>
        <v>#DIV/0!</v>
      </c>
    </row>
    <row r="182" spans="1:18" x14ac:dyDescent="0.25">
      <c r="A182" s="745">
        <f>'Состав ВТК'!B185</f>
        <v>0</v>
      </c>
      <c r="B182" s="739">
        <f>'Состав ВТК'!L185</f>
        <v>0</v>
      </c>
      <c r="C182" s="739">
        <f>'Состав ВТК'!M185</f>
        <v>0</v>
      </c>
      <c r="D182" s="746" t="b">
        <f t="shared" si="16"/>
        <v>0</v>
      </c>
      <c r="E182" s="746" t="b">
        <f t="shared" si="17"/>
        <v>0</v>
      </c>
      <c r="F182" s="746" t="b">
        <f t="shared" si="18"/>
        <v>0</v>
      </c>
      <c r="G182" s="746" t="b">
        <f t="shared" si="19"/>
        <v>0</v>
      </c>
      <c r="H182" s="741">
        <f>IF(D182=TRUE,IF(E182=FALSE,'Расчет участников НИР'!$H192*(50%/1),IF(AND(E182=TRUE,F182=TRUE,G182=TRUE),'Расчет участников НИР'!$H192*'счеталка премий'!$T$6,IF(AND(E182=TRUE,F182=TRUE),'Расчет участников НИР'!$H192*(50%/3),'Расчет участников НИР'!$H192*(50%/2)))),0)</f>
        <v>0</v>
      </c>
      <c r="I182" s="741">
        <f>IF(E182=TRUE,IF(D182=FALSE,'Расчет участников НИР'!$H192*(10%),IF(F182=FALSE,'Расчет участников НИР'!$H192*(50%/2),IF(AND(F182=TRUE,G182=TRUE),'Расчет участников НИР'!$H192*'счеталка премий'!$T$6,'Расчет участников НИР'!$H192*(50%/3)))),0)</f>
        <v>0</v>
      </c>
      <c r="J182" s="741">
        <f>IF(F182=TRUE,IF(AND(D182=FALSE,E182=FALSE),'Расчет участников НИР'!$H192*(20%),IF(D182=FALSE,'Расчет участников НИР'!$H192*(10%),IF(G182=FALSE,'Расчет участников НИР'!$H192*(50%/3),'Расчет участников НИР'!$H192*'счеталка премий'!$T$6))),0)</f>
        <v>0</v>
      </c>
      <c r="K182" s="741">
        <f>IF(G182=TRUE,IF(AND(D182=FALSE,E182=FALSE,F182=FALSE),'Расчет участников НИР'!$H192*(50%),'Расчет участников НИР'!$H192*'счеталка премий'!$T$7),0)</f>
        <v>0</v>
      </c>
      <c r="L182" s="741">
        <f t="shared" si="20"/>
        <v>0</v>
      </c>
      <c r="M182" s="741">
        <f>'Расчет участников НИР'!H192</f>
        <v>0</v>
      </c>
      <c r="O182" s="747" t="e">
        <f t="shared" si="21"/>
        <v>#DIV/0!</v>
      </c>
      <c r="P182" s="747" t="e">
        <f t="shared" si="21"/>
        <v>#DIV/0!</v>
      </c>
      <c r="Q182" s="747" t="e">
        <f t="shared" si="21"/>
        <v>#DIV/0!</v>
      </c>
      <c r="R182" s="747" t="e">
        <f t="shared" si="21"/>
        <v>#DIV/0!</v>
      </c>
    </row>
    <row r="183" spans="1:18" x14ac:dyDescent="0.25">
      <c r="A183" s="745">
        <f>'Состав ВТК'!B186</f>
        <v>0</v>
      </c>
      <c r="B183" s="739">
        <f>'Состав ВТК'!L186</f>
        <v>0</v>
      </c>
      <c r="C183" s="739">
        <f>'Состав ВТК'!M186</f>
        <v>0</v>
      </c>
      <c r="D183" s="746" t="b">
        <f t="shared" si="16"/>
        <v>0</v>
      </c>
      <c r="E183" s="746" t="b">
        <f t="shared" si="17"/>
        <v>0</v>
      </c>
      <c r="F183" s="746" t="b">
        <f t="shared" si="18"/>
        <v>0</v>
      </c>
      <c r="G183" s="746" t="b">
        <f t="shared" si="19"/>
        <v>0</v>
      </c>
      <c r="H183" s="741">
        <f>IF(D183=TRUE,IF(E183=FALSE,'Расчет участников НИР'!$H193*(50%/1),IF(AND(E183=TRUE,F183=TRUE,G183=TRUE),'Расчет участников НИР'!$H193*'счеталка премий'!$T$6,IF(AND(E183=TRUE,F183=TRUE),'Расчет участников НИР'!$H193*(50%/3),'Расчет участников НИР'!$H193*(50%/2)))),0)</f>
        <v>0</v>
      </c>
      <c r="I183" s="741">
        <f>IF(E183=TRUE,IF(D183=FALSE,'Расчет участников НИР'!$H193*(10%),IF(F183=FALSE,'Расчет участников НИР'!$H193*(50%/2),IF(AND(F183=TRUE,G183=TRUE),'Расчет участников НИР'!$H193*'счеталка премий'!$T$6,'Расчет участников НИР'!$H193*(50%/3)))),0)</f>
        <v>0</v>
      </c>
      <c r="J183" s="741">
        <f>IF(F183=TRUE,IF(AND(D183=FALSE,E183=FALSE),'Расчет участников НИР'!$H193*(20%),IF(D183=FALSE,'Расчет участников НИР'!$H193*(10%),IF(G183=FALSE,'Расчет участников НИР'!$H193*(50%/3),'Расчет участников НИР'!$H193*'счеталка премий'!$T$6))),0)</f>
        <v>0</v>
      </c>
      <c r="K183" s="741">
        <f>IF(G183=TRUE,IF(AND(D183=FALSE,E183=FALSE,F183=FALSE),'Расчет участников НИР'!$H193*(50%),'Расчет участников НИР'!$H193*'счеталка премий'!$T$7),0)</f>
        <v>0</v>
      </c>
      <c r="L183" s="741">
        <f t="shared" si="20"/>
        <v>0</v>
      </c>
      <c r="M183" s="741">
        <f>'Расчет участников НИР'!H193</f>
        <v>0</v>
      </c>
      <c r="O183" s="747" t="e">
        <f t="shared" si="21"/>
        <v>#DIV/0!</v>
      </c>
      <c r="P183" s="747" t="e">
        <f t="shared" si="21"/>
        <v>#DIV/0!</v>
      </c>
      <c r="Q183" s="747" t="e">
        <f t="shared" si="21"/>
        <v>#DIV/0!</v>
      </c>
      <c r="R183" s="747" t="e">
        <f t="shared" si="21"/>
        <v>#DIV/0!</v>
      </c>
    </row>
    <row r="184" spans="1:18" x14ac:dyDescent="0.25">
      <c r="A184" s="745">
        <f>'Состав ВТК'!B187</f>
        <v>0</v>
      </c>
      <c r="B184" s="739">
        <f>'Состав ВТК'!L187</f>
        <v>0</v>
      </c>
      <c r="C184" s="739">
        <f>'Состав ВТК'!M187</f>
        <v>0</v>
      </c>
      <c r="D184" s="746" t="b">
        <f t="shared" si="16"/>
        <v>0</v>
      </c>
      <c r="E184" s="746" t="b">
        <f t="shared" si="17"/>
        <v>0</v>
      </c>
      <c r="F184" s="746" t="b">
        <f t="shared" si="18"/>
        <v>0</v>
      </c>
      <c r="G184" s="746" t="b">
        <f t="shared" si="19"/>
        <v>0</v>
      </c>
      <c r="H184" s="741">
        <f>IF(D184=TRUE,IF(E184=FALSE,'Расчет участников НИР'!$H194*(50%/1),IF(AND(E184=TRUE,F184=TRUE,G184=TRUE),'Расчет участников НИР'!$H194*'счеталка премий'!$T$6,IF(AND(E184=TRUE,F184=TRUE),'Расчет участников НИР'!$H194*(50%/3),'Расчет участников НИР'!$H194*(50%/2)))),0)</f>
        <v>0</v>
      </c>
      <c r="I184" s="741">
        <f>IF(E184=TRUE,IF(D184=FALSE,'Расчет участников НИР'!$H194*(10%),IF(F184=FALSE,'Расчет участников НИР'!$H194*(50%/2),IF(AND(F184=TRUE,G184=TRUE),'Расчет участников НИР'!$H194*'счеталка премий'!$T$6,'Расчет участников НИР'!$H194*(50%/3)))),0)</f>
        <v>0</v>
      </c>
      <c r="J184" s="741">
        <f>IF(F184=TRUE,IF(AND(D184=FALSE,E184=FALSE),'Расчет участников НИР'!$H194*(20%),IF(D184=FALSE,'Расчет участников НИР'!$H194*(10%),IF(G184=FALSE,'Расчет участников НИР'!$H194*(50%/3),'Расчет участников НИР'!$H194*'счеталка премий'!$T$6))),0)</f>
        <v>0</v>
      </c>
      <c r="K184" s="741">
        <f>IF(G184=TRUE,IF(AND(D184=FALSE,E184=FALSE,F184=FALSE),'Расчет участников НИР'!$H194*(50%),'Расчет участников НИР'!$H194*'счеталка премий'!$T$7),0)</f>
        <v>0</v>
      </c>
      <c r="L184" s="741">
        <f t="shared" si="20"/>
        <v>0</v>
      </c>
      <c r="M184" s="741">
        <f>'Расчет участников НИР'!H194</f>
        <v>0</v>
      </c>
      <c r="O184" s="747" t="e">
        <f t="shared" si="21"/>
        <v>#DIV/0!</v>
      </c>
      <c r="P184" s="747" t="e">
        <f t="shared" si="21"/>
        <v>#DIV/0!</v>
      </c>
      <c r="Q184" s="747" t="e">
        <f t="shared" si="21"/>
        <v>#DIV/0!</v>
      </c>
      <c r="R184" s="747" t="e">
        <f t="shared" si="21"/>
        <v>#DIV/0!</v>
      </c>
    </row>
    <row r="185" spans="1:18" x14ac:dyDescent="0.25">
      <c r="A185" s="745">
        <f>'Состав ВТК'!B188</f>
        <v>0</v>
      </c>
      <c r="B185" s="739">
        <f>'Состав ВТК'!L188</f>
        <v>0</v>
      </c>
      <c r="C185" s="739">
        <f>'Состав ВТК'!M188</f>
        <v>0</v>
      </c>
      <c r="D185" s="746" t="b">
        <f t="shared" si="16"/>
        <v>0</v>
      </c>
      <c r="E185" s="746" t="b">
        <f t="shared" si="17"/>
        <v>0</v>
      </c>
      <c r="F185" s="746" t="b">
        <f t="shared" si="18"/>
        <v>0</v>
      </c>
      <c r="G185" s="746" t="b">
        <f t="shared" si="19"/>
        <v>0</v>
      </c>
      <c r="H185" s="741">
        <f>IF(D185=TRUE,IF(E185=FALSE,'Расчет участников НИР'!$H195*(50%/1),IF(AND(E185=TRUE,F185=TRUE,G185=TRUE),'Расчет участников НИР'!$H195*'счеталка премий'!$T$6,IF(AND(E185=TRUE,F185=TRUE),'Расчет участников НИР'!$H195*(50%/3),'Расчет участников НИР'!$H195*(50%/2)))),0)</f>
        <v>0</v>
      </c>
      <c r="I185" s="741">
        <f>IF(E185=TRUE,IF(D185=FALSE,'Расчет участников НИР'!$H195*(10%),IF(F185=FALSE,'Расчет участников НИР'!$H195*(50%/2),IF(AND(F185=TRUE,G185=TRUE),'Расчет участников НИР'!$H195*'счеталка премий'!$T$6,'Расчет участников НИР'!$H195*(50%/3)))),0)</f>
        <v>0</v>
      </c>
      <c r="J185" s="741">
        <f>IF(F185=TRUE,IF(AND(D185=FALSE,E185=FALSE),'Расчет участников НИР'!$H195*(20%),IF(D185=FALSE,'Расчет участников НИР'!$H195*(10%),IF(G185=FALSE,'Расчет участников НИР'!$H195*(50%/3),'Расчет участников НИР'!$H195*'счеталка премий'!$T$6))),0)</f>
        <v>0</v>
      </c>
      <c r="K185" s="741">
        <f>IF(G185=TRUE,IF(AND(D185=FALSE,E185=FALSE,F185=FALSE),'Расчет участников НИР'!$H195*(50%),'Расчет участников НИР'!$H195*'счеталка премий'!$T$7),0)</f>
        <v>0</v>
      </c>
      <c r="L185" s="741">
        <f t="shared" si="20"/>
        <v>0</v>
      </c>
      <c r="M185" s="741">
        <f>'Расчет участников НИР'!H195</f>
        <v>0</v>
      </c>
      <c r="O185" s="747" t="e">
        <f t="shared" si="21"/>
        <v>#DIV/0!</v>
      </c>
      <c r="P185" s="747" t="e">
        <f t="shared" si="21"/>
        <v>#DIV/0!</v>
      </c>
      <c r="Q185" s="747" t="e">
        <f t="shared" si="21"/>
        <v>#DIV/0!</v>
      </c>
      <c r="R185" s="747" t="e">
        <f t="shared" si="21"/>
        <v>#DIV/0!</v>
      </c>
    </row>
    <row r="186" spans="1:18" x14ac:dyDescent="0.25">
      <c r="A186" s="745">
        <f>'Состав ВТК'!B189</f>
        <v>0</v>
      </c>
      <c r="B186" s="739">
        <f>'Состав ВТК'!L189</f>
        <v>0</v>
      </c>
      <c r="C186" s="739">
        <f>'Состав ВТК'!M189</f>
        <v>0</v>
      </c>
      <c r="D186" s="746" t="b">
        <f t="shared" si="16"/>
        <v>0</v>
      </c>
      <c r="E186" s="746" t="b">
        <f t="shared" si="17"/>
        <v>0</v>
      </c>
      <c r="F186" s="746" t="b">
        <f t="shared" si="18"/>
        <v>0</v>
      </c>
      <c r="G186" s="746" t="b">
        <f t="shared" si="19"/>
        <v>0</v>
      </c>
      <c r="H186" s="741">
        <f>IF(D186=TRUE,IF(E186=FALSE,'Расчет участников НИР'!$H196*(50%/1),IF(AND(E186=TRUE,F186=TRUE,G186=TRUE),'Расчет участников НИР'!$H196*'счеталка премий'!$T$6,IF(AND(E186=TRUE,F186=TRUE),'Расчет участников НИР'!$H196*(50%/3),'Расчет участников НИР'!$H196*(50%/2)))),0)</f>
        <v>0</v>
      </c>
      <c r="I186" s="741">
        <f>IF(E186=TRUE,IF(D186=FALSE,'Расчет участников НИР'!$H196*(10%),IF(F186=FALSE,'Расчет участников НИР'!$H196*(50%/2),IF(AND(F186=TRUE,G186=TRUE),'Расчет участников НИР'!$H196*'счеталка премий'!$T$6,'Расчет участников НИР'!$H196*(50%/3)))),0)</f>
        <v>0</v>
      </c>
      <c r="J186" s="741">
        <f>IF(F186=TRUE,IF(AND(D186=FALSE,E186=FALSE),'Расчет участников НИР'!$H196*(20%),IF(D186=FALSE,'Расчет участников НИР'!$H196*(10%),IF(G186=FALSE,'Расчет участников НИР'!$H196*(50%/3),'Расчет участников НИР'!$H196*'счеталка премий'!$T$6))),0)</f>
        <v>0</v>
      </c>
      <c r="K186" s="741">
        <f>IF(G186=TRUE,IF(AND(D186=FALSE,E186=FALSE,F186=FALSE),'Расчет участников НИР'!$H196*(50%),'Расчет участников НИР'!$H196*'счеталка премий'!$T$7),0)</f>
        <v>0</v>
      </c>
      <c r="L186" s="741">
        <f t="shared" si="20"/>
        <v>0</v>
      </c>
      <c r="M186" s="741">
        <f>'Расчет участников НИР'!H196</f>
        <v>0</v>
      </c>
      <c r="O186" s="747" t="e">
        <f t="shared" si="21"/>
        <v>#DIV/0!</v>
      </c>
      <c r="P186" s="747" t="e">
        <f t="shared" si="21"/>
        <v>#DIV/0!</v>
      </c>
      <c r="Q186" s="747" t="e">
        <f t="shared" si="21"/>
        <v>#DIV/0!</v>
      </c>
      <c r="R186" s="747" t="e">
        <f t="shared" si="21"/>
        <v>#DIV/0!</v>
      </c>
    </row>
    <row r="187" spans="1:18" x14ac:dyDescent="0.25">
      <c r="A187" s="745">
        <f>'Состав ВТК'!B190</f>
        <v>0</v>
      </c>
      <c r="B187" s="739">
        <f>'Состав ВТК'!L190</f>
        <v>0</v>
      </c>
      <c r="C187" s="739">
        <f>'Состав ВТК'!M190</f>
        <v>0</v>
      </c>
      <c r="D187" s="746" t="b">
        <f t="shared" si="16"/>
        <v>0</v>
      </c>
      <c r="E187" s="746" t="b">
        <f t="shared" si="17"/>
        <v>0</v>
      </c>
      <c r="F187" s="746" t="b">
        <f t="shared" si="18"/>
        <v>0</v>
      </c>
      <c r="G187" s="746" t="b">
        <f t="shared" si="19"/>
        <v>0</v>
      </c>
      <c r="H187" s="741">
        <f>IF(D187=TRUE,IF(E187=FALSE,'Расчет участников НИР'!$H197*(50%/1),IF(AND(E187=TRUE,F187=TRUE,G187=TRUE),'Расчет участников НИР'!$H197*'счеталка премий'!$T$6,IF(AND(E187=TRUE,F187=TRUE),'Расчет участников НИР'!$H197*(50%/3),'Расчет участников НИР'!$H197*(50%/2)))),0)</f>
        <v>0</v>
      </c>
      <c r="I187" s="741">
        <f>IF(E187=TRUE,IF(D187=FALSE,'Расчет участников НИР'!$H197*(10%),IF(F187=FALSE,'Расчет участников НИР'!$H197*(50%/2),IF(AND(F187=TRUE,G187=TRUE),'Расчет участников НИР'!$H197*'счеталка премий'!$T$6,'Расчет участников НИР'!$H197*(50%/3)))),0)</f>
        <v>0</v>
      </c>
      <c r="J187" s="741">
        <f>IF(F187=TRUE,IF(AND(D187=FALSE,E187=FALSE),'Расчет участников НИР'!$H197*(20%),IF(D187=FALSE,'Расчет участников НИР'!$H197*(10%),IF(G187=FALSE,'Расчет участников НИР'!$H197*(50%/3),'Расчет участников НИР'!$H197*'счеталка премий'!$T$6))),0)</f>
        <v>0</v>
      </c>
      <c r="K187" s="741">
        <f>IF(G187=TRUE,IF(AND(D187=FALSE,E187=FALSE,F187=FALSE),'Расчет участников НИР'!$H197*(50%),'Расчет участников НИР'!$H197*'счеталка премий'!$T$7),0)</f>
        <v>0</v>
      </c>
      <c r="L187" s="741">
        <f t="shared" si="20"/>
        <v>0</v>
      </c>
      <c r="M187" s="741">
        <f>'Расчет участников НИР'!H197</f>
        <v>0</v>
      </c>
      <c r="O187" s="747" t="e">
        <f t="shared" si="21"/>
        <v>#DIV/0!</v>
      </c>
      <c r="P187" s="747" t="e">
        <f t="shared" si="21"/>
        <v>#DIV/0!</v>
      </c>
      <c r="Q187" s="747" t="e">
        <f t="shared" si="21"/>
        <v>#DIV/0!</v>
      </c>
      <c r="R187" s="747" t="e">
        <f t="shared" si="21"/>
        <v>#DIV/0!</v>
      </c>
    </row>
    <row r="188" spans="1:18" x14ac:dyDescent="0.25">
      <c r="A188" s="745">
        <f>'Состав ВТК'!B191</f>
        <v>0</v>
      </c>
      <c r="B188" s="739">
        <f>'Состав ВТК'!L191</f>
        <v>0</v>
      </c>
      <c r="C188" s="739">
        <f>'Состав ВТК'!M191</f>
        <v>0</v>
      </c>
      <c r="D188" s="746" t="b">
        <f t="shared" si="16"/>
        <v>0</v>
      </c>
      <c r="E188" s="746" t="b">
        <f t="shared" si="17"/>
        <v>0</v>
      </c>
      <c r="F188" s="746" t="b">
        <f t="shared" si="18"/>
        <v>0</v>
      </c>
      <c r="G188" s="746" t="b">
        <f t="shared" si="19"/>
        <v>0</v>
      </c>
      <c r="H188" s="741">
        <f>IF(D188=TRUE,IF(E188=FALSE,'Расчет участников НИР'!$H198*(50%/1),IF(AND(E188=TRUE,F188=TRUE,G188=TRUE),'Расчет участников НИР'!$H198*'счеталка премий'!$T$6,IF(AND(E188=TRUE,F188=TRUE),'Расчет участников НИР'!$H198*(50%/3),'Расчет участников НИР'!$H198*(50%/2)))),0)</f>
        <v>0</v>
      </c>
      <c r="I188" s="741">
        <f>IF(E188=TRUE,IF(D188=FALSE,'Расчет участников НИР'!$H198*(10%),IF(F188=FALSE,'Расчет участников НИР'!$H198*(50%/2),IF(AND(F188=TRUE,G188=TRUE),'Расчет участников НИР'!$H198*'счеталка премий'!$T$6,'Расчет участников НИР'!$H198*(50%/3)))),0)</f>
        <v>0</v>
      </c>
      <c r="J188" s="741">
        <f>IF(F188=TRUE,IF(AND(D188=FALSE,E188=FALSE),'Расчет участников НИР'!$H198*(20%),IF(D188=FALSE,'Расчет участников НИР'!$H198*(10%),IF(G188=FALSE,'Расчет участников НИР'!$H198*(50%/3),'Расчет участников НИР'!$H198*'счеталка премий'!$T$6))),0)</f>
        <v>0</v>
      </c>
      <c r="K188" s="741">
        <f>IF(G188=TRUE,IF(AND(D188=FALSE,E188=FALSE,F188=FALSE),'Расчет участников НИР'!$H198*(50%),'Расчет участников НИР'!$H198*'счеталка премий'!$T$7),0)</f>
        <v>0</v>
      </c>
      <c r="L188" s="741">
        <f t="shared" si="20"/>
        <v>0</v>
      </c>
      <c r="M188" s="741">
        <f>'Расчет участников НИР'!H198</f>
        <v>0</v>
      </c>
      <c r="O188" s="747" t="e">
        <f t="shared" si="21"/>
        <v>#DIV/0!</v>
      </c>
      <c r="P188" s="747" t="e">
        <f t="shared" si="21"/>
        <v>#DIV/0!</v>
      </c>
      <c r="Q188" s="747" t="e">
        <f t="shared" si="21"/>
        <v>#DIV/0!</v>
      </c>
      <c r="R188" s="747" t="e">
        <f t="shared" si="21"/>
        <v>#DIV/0!</v>
      </c>
    </row>
    <row r="189" spans="1:18" x14ac:dyDescent="0.25">
      <c r="A189" s="745">
        <f>'Состав ВТК'!B192</f>
        <v>0</v>
      </c>
      <c r="B189" s="739">
        <f>'Состав ВТК'!L192</f>
        <v>0</v>
      </c>
      <c r="C189" s="739">
        <f>'Состав ВТК'!M192</f>
        <v>0</v>
      </c>
      <c r="D189" s="746" t="b">
        <f t="shared" si="16"/>
        <v>0</v>
      </c>
      <c r="E189" s="746" t="b">
        <f t="shared" si="17"/>
        <v>0</v>
      </c>
      <c r="F189" s="746" t="b">
        <f t="shared" si="18"/>
        <v>0</v>
      </c>
      <c r="G189" s="746" t="b">
        <f t="shared" si="19"/>
        <v>0</v>
      </c>
      <c r="H189" s="741">
        <f>IF(D189=TRUE,IF(E189=FALSE,'Расчет участников НИР'!$H199*(50%/1),IF(AND(E189=TRUE,F189=TRUE,G189=TRUE),'Расчет участников НИР'!$H199*'счеталка премий'!$T$6,IF(AND(E189=TRUE,F189=TRUE),'Расчет участников НИР'!$H199*(50%/3),'Расчет участников НИР'!$H199*(50%/2)))),0)</f>
        <v>0</v>
      </c>
      <c r="I189" s="741">
        <f>IF(E189=TRUE,IF(D189=FALSE,'Расчет участников НИР'!$H199*(10%),IF(F189=FALSE,'Расчет участников НИР'!$H199*(50%/2),IF(AND(F189=TRUE,G189=TRUE),'Расчет участников НИР'!$H199*'счеталка премий'!$T$6,'Расчет участников НИР'!$H199*(50%/3)))),0)</f>
        <v>0</v>
      </c>
      <c r="J189" s="741">
        <f>IF(F189=TRUE,IF(AND(D189=FALSE,E189=FALSE),'Расчет участников НИР'!$H199*(20%),IF(D189=FALSE,'Расчет участников НИР'!$H199*(10%),IF(G189=FALSE,'Расчет участников НИР'!$H199*(50%/3),'Расчет участников НИР'!$H199*'счеталка премий'!$T$6))),0)</f>
        <v>0</v>
      </c>
      <c r="K189" s="741">
        <f>IF(G189=TRUE,IF(AND(D189=FALSE,E189=FALSE,F189=FALSE),'Расчет участников НИР'!$H199*(50%),'Расчет участников НИР'!$H199*'счеталка премий'!$T$7),0)</f>
        <v>0</v>
      </c>
      <c r="L189" s="741">
        <f t="shared" si="20"/>
        <v>0</v>
      </c>
      <c r="M189" s="741">
        <f>'Расчет участников НИР'!H199</f>
        <v>0</v>
      </c>
      <c r="O189" s="747" t="e">
        <f t="shared" si="21"/>
        <v>#DIV/0!</v>
      </c>
      <c r="P189" s="747" t="e">
        <f t="shared" si="21"/>
        <v>#DIV/0!</v>
      </c>
      <c r="Q189" s="747" t="e">
        <f t="shared" si="21"/>
        <v>#DIV/0!</v>
      </c>
      <c r="R189" s="747" t="e">
        <f t="shared" si="21"/>
        <v>#DIV/0!</v>
      </c>
    </row>
    <row r="190" spans="1:18" x14ac:dyDescent="0.25">
      <c r="A190" s="745">
        <f>'Состав ВТК'!B193</f>
        <v>0</v>
      </c>
      <c r="B190" s="739">
        <f>'Состав ВТК'!L193</f>
        <v>0</v>
      </c>
      <c r="C190" s="739">
        <f>'Состав ВТК'!M193</f>
        <v>0</v>
      </c>
      <c r="D190" s="746" t="b">
        <f t="shared" si="16"/>
        <v>0</v>
      </c>
      <c r="E190" s="746" t="b">
        <f t="shared" si="17"/>
        <v>0</v>
      </c>
      <c r="F190" s="746" t="b">
        <f t="shared" si="18"/>
        <v>0</v>
      </c>
      <c r="G190" s="746" t="b">
        <f t="shared" si="19"/>
        <v>0</v>
      </c>
      <c r="H190" s="741">
        <f>IF(D190=TRUE,IF(E190=FALSE,'Расчет участников НИР'!$H200*(50%/1),IF(AND(E190=TRUE,F190=TRUE,G190=TRUE),'Расчет участников НИР'!$H200*'счеталка премий'!$T$6,IF(AND(E190=TRUE,F190=TRUE),'Расчет участников НИР'!$H200*(50%/3),'Расчет участников НИР'!$H200*(50%/2)))),0)</f>
        <v>0</v>
      </c>
      <c r="I190" s="741">
        <f>IF(E190=TRUE,IF(D190=FALSE,'Расчет участников НИР'!$H200*(10%),IF(F190=FALSE,'Расчет участников НИР'!$H200*(50%/2),IF(AND(F190=TRUE,G190=TRUE),'Расчет участников НИР'!$H200*'счеталка премий'!$T$6,'Расчет участников НИР'!$H200*(50%/3)))),0)</f>
        <v>0</v>
      </c>
      <c r="J190" s="741">
        <f>IF(F190=TRUE,IF(AND(D190=FALSE,E190=FALSE),'Расчет участников НИР'!$H200*(20%),IF(D190=FALSE,'Расчет участников НИР'!$H200*(10%),IF(G190=FALSE,'Расчет участников НИР'!$H200*(50%/3),'Расчет участников НИР'!$H200*'счеталка премий'!$T$6))),0)</f>
        <v>0</v>
      </c>
      <c r="K190" s="741">
        <f>IF(G190=TRUE,IF(AND(D190=FALSE,E190=FALSE,F190=FALSE),'Расчет участников НИР'!$H200*(50%),'Расчет участников НИР'!$H200*'счеталка премий'!$T$7),0)</f>
        <v>0</v>
      </c>
      <c r="L190" s="741">
        <f t="shared" si="20"/>
        <v>0</v>
      </c>
      <c r="M190" s="741">
        <f>'Расчет участников НИР'!H200</f>
        <v>0</v>
      </c>
      <c r="O190" s="747" t="e">
        <f t="shared" si="21"/>
        <v>#DIV/0!</v>
      </c>
      <c r="P190" s="747" t="e">
        <f t="shared" si="21"/>
        <v>#DIV/0!</v>
      </c>
      <c r="Q190" s="747" t="e">
        <f t="shared" si="21"/>
        <v>#DIV/0!</v>
      </c>
      <c r="R190" s="747" t="e">
        <f t="shared" si="21"/>
        <v>#DIV/0!</v>
      </c>
    </row>
    <row r="191" spans="1:18" x14ac:dyDescent="0.25">
      <c r="A191" s="745">
        <f>'Состав ВТК'!B194</f>
        <v>0</v>
      </c>
      <c r="B191" s="739">
        <f>'Состав ВТК'!L194</f>
        <v>0</v>
      </c>
      <c r="C191" s="739">
        <f>'Состав ВТК'!M194</f>
        <v>0</v>
      </c>
      <c r="D191" s="746" t="b">
        <f t="shared" si="16"/>
        <v>0</v>
      </c>
      <c r="E191" s="746" t="b">
        <f t="shared" si="17"/>
        <v>0</v>
      </c>
      <c r="F191" s="746" t="b">
        <f t="shared" si="18"/>
        <v>0</v>
      </c>
      <c r="G191" s="746" t="b">
        <f t="shared" si="19"/>
        <v>0</v>
      </c>
      <c r="H191" s="741">
        <f>IF(D191=TRUE,IF(E191=FALSE,'Расчет участников НИР'!$H201*(50%/1),IF(AND(E191=TRUE,F191=TRUE,G191=TRUE),'Расчет участников НИР'!$H201*'счеталка премий'!$T$6,IF(AND(E191=TRUE,F191=TRUE),'Расчет участников НИР'!$H201*(50%/3),'Расчет участников НИР'!$H201*(50%/2)))),0)</f>
        <v>0</v>
      </c>
      <c r="I191" s="741">
        <f>IF(E191=TRUE,IF(D191=FALSE,'Расчет участников НИР'!$H201*(10%),IF(F191=FALSE,'Расчет участников НИР'!$H201*(50%/2),IF(AND(F191=TRUE,G191=TRUE),'Расчет участников НИР'!$H201*'счеталка премий'!$T$6,'Расчет участников НИР'!$H201*(50%/3)))),0)</f>
        <v>0</v>
      </c>
      <c r="J191" s="741">
        <f>IF(F191=TRUE,IF(AND(D191=FALSE,E191=FALSE),'Расчет участников НИР'!$H201*(20%),IF(D191=FALSE,'Расчет участников НИР'!$H201*(10%),IF(G191=FALSE,'Расчет участников НИР'!$H201*(50%/3),'Расчет участников НИР'!$H201*'счеталка премий'!$T$6))),0)</f>
        <v>0</v>
      </c>
      <c r="K191" s="741">
        <f>IF(G191=TRUE,IF(AND(D191=FALSE,E191=FALSE,F191=FALSE),'Расчет участников НИР'!$H201*(50%),'Расчет участников НИР'!$H201*'счеталка премий'!$T$7),0)</f>
        <v>0</v>
      </c>
      <c r="L191" s="741">
        <f t="shared" si="20"/>
        <v>0</v>
      </c>
      <c r="M191" s="741">
        <f>'Расчет участников НИР'!H201</f>
        <v>0</v>
      </c>
      <c r="O191" s="747" t="e">
        <f t="shared" si="21"/>
        <v>#DIV/0!</v>
      </c>
      <c r="P191" s="747" t="e">
        <f t="shared" si="21"/>
        <v>#DIV/0!</v>
      </c>
      <c r="Q191" s="747" t="e">
        <f t="shared" si="21"/>
        <v>#DIV/0!</v>
      </c>
      <c r="R191" s="747" t="e">
        <f t="shared" si="21"/>
        <v>#DIV/0!</v>
      </c>
    </row>
  </sheetData>
  <sheetProtection algorithmName="SHA-512" hashValue="ZjOgDg5SilcFnH/i160kd4sRuvJKMD3oChqzUsWc5DD/n2CpgBMxkF4usHfB+o8dfaShrN48BN282ibR8UuSLA==" saltValue="m5SxcdgkQre5xA3DBSg3zw==" spinCount="100000" sheet="1" objects="1" scenarios="1"/>
  <mergeCells count="11">
    <mergeCell ref="L3:L5"/>
    <mergeCell ref="M3:M5"/>
    <mergeCell ref="O3:Q3"/>
    <mergeCell ref="R3:R4"/>
    <mergeCell ref="A5:C5"/>
    <mergeCell ref="A3:A4"/>
    <mergeCell ref="B3:C3"/>
    <mergeCell ref="D3:F3"/>
    <mergeCell ref="G3:G4"/>
    <mergeCell ref="H3:J3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S133"/>
  <sheetViews>
    <sheetView zoomScale="55" zoomScaleNormal="55" zoomScaleSheetLayoutView="55" workbookViewId="0">
      <selection activeCell="L23" sqref="L23"/>
    </sheetView>
  </sheetViews>
  <sheetFormatPr defaultRowHeight="18.75" outlineLevelRow="1" x14ac:dyDescent="0.3"/>
  <cols>
    <col min="1" max="1" width="54.28515625" style="229" customWidth="1"/>
    <col min="2" max="2" width="39.85546875" style="229" customWidth="1"/>
    <col min="3" max="4" width="16.7109375" style="229" customWidth="1"/>
    <col min="5" max="5" width="19.5703125" style="24" customWidth="1"/>
    <col min="6" max="6" width="22.28515625" style="24" customWidth="1"/>
    <col min="7" max="7" width="23.140625" style="24" customWidth="1"/>
    <col min="8" max="8" width="16.28515625" style="24" customWidth="1"/>
    <col min="9" max="9" width="23" style="24" customWidth="1"/>
    <col min="10" max="10" width="22.7109375" style="24" customWidth="1"/>
    <col min="11" max="11" width="17" style="24" customWidth="1"/>
    <col min="12" max="13" width="22.7109375" style="24" customWidth="1"/>
    <col min="14" max="14" width="16.140625" style="24" customWidth="1"/>
    <col min="15" max="16" width="16.28515625" style="24" customWidth="1"/>
    <col min="17" max="17" width="16.7109375" style="229" bestFit="1" customWidth="1"/>
    <col min="18" max="18" width="12.140625" style="229" bestFit="1" customWidth="1"/>
    <col min="19" max="19" width="15.28515625" style="229" customWidth="1"/>
    <col min="20" max="16384" width="9.140625" style="229"/>
  </cols>
  <sheetData>
    <row r="1" spans="1:19" x14ac:dyDescent="0.3">
      <c r="S1" s="312" t="s">
        <v>232</v>
      </c>
    </row>
    <row r="2" spans="1:19" ht="30.75" customHeight="1" x14ac:dyDescent="0.3">
      <c r="A2" s="872" t="s">
        <v>442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S2" s="568" t="s">
        <v>433</v>
      </c>
    </row>
    <row r="4" spans="1:19" x14ac:dyDescent="0.3">
      <c r="A4" s="411" t="str">
        <f>Титул!A5</f>
        <v>Номер_темы</v>
      </c>
      <c r="B4" s="862">
        <f>Титул!B5</f>
        <v>0</v>
      </c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</row>
    <row r="5" spans="1:19" ht="18.75" customHeight="1" x14ac:dyDescent="0.3">
      <c r="A5" s="411" t="str">
        <f>Титул!A6</f>
        <v>Наименование_темы</v>
      </c>
      <c r="B5" s="862" t="str">
        <f>Титул!B6</f>
        <v>-</v>
      </c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</row>
    <row r="6" spans="1:19" ht="18.75" customHeight="1" x14ac:dyDescent="0.3">
      <c r="A6" s="411" t="str">
        <f>Титул!A7</f>
        <v>Вид_научного_исследования</v>
      </c>
      <c r="B6" s="862" t="str">
        <f>Титул!B7</f>
        <v>-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</row>
    <row r="7" spans="1:19" ht="18.75" customHeight="1" x14ac:dyDescent="0.3">
      <c r="A7" s="411" t="s">
        <v>413</v>
      </c>
      <c r="B7" s="862" t="str">
        <f>Титул!B8</f>
        <v>-</v>
      </c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</row>
    <row r="8" spans="1:19" ht="24" customHeight="1" x14ac:dyDescent="0.3">
      <c r="A8" s="411" t="str">
        <f>Титул!A9</f>
        <v>Наименование_подразделения_НИСП</v>
      </c>
      <c r="B8" s="862" t="str">
        <f>Титул!B9</f>
        <v>-</v>
      </c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</row>
    <row r="9" spans="1:19" ht="19.5" thickBot="1" x14ac:dyDescent="0.35">
      <c r="B9" s="569"/>
      <c r="C9" s="569"/>
      <c r="D9" s="569"/>
      <c r="F9" s="570"/>
      <c r="G9" s="570"/>
      <c r="H9" s="571"/>
      <c r="I9" s="570"/>
      <c r="J9" s="570"/>
      <c r="K9" s="570"/>
      <c r="L9" s="570"/>
      <c r="M9" s="570"/>
      <c r="N9" s="570"/>
      <c r="O9" s="570"/>
      <c r="P9" s="570"/>
      <c r="Q9" s="572"/>
    </row>
    <row r="10" spans="1:19" s="526" customFormat="1" ht="18.75" customHeight="1" thickBot="1" x14ac:dyDescent="0.3">
      <c r="A10" s="866" t="s">
        <v>443</v>
      </c>
      <c r="B10" s="866"/>
      <c r="C10" s="866"/>
      <c r="D10" s="866"/>
      <c r="E10" s="866"/>
      <c r="F10" s="867" t="s">
        <v>51</v>
      </c>
      <c r="G10" s="867" t="s">
        <v>59</v>
      </c>
      <c r="H10" s="869"/>
      <c r="I10" s="867" t="s">
        <v>51</v>
      </c>
      <c r="J10" s="867" t="s">
        <v>59</v>
      </c>
      <c r="K10" s="869"/>
      <c r="L10" s="867" t="s">
        <v>51</v>
      </c>
      <c r="M10" s="867" t="s">
        <v>59</v>
      </c>
      <c r="N10" s="869"/>
      <c r="O10" s="867" t="s">
        <v>51</v>
      </c>
      <c r="P10" s="867" t="s">
        <v>59</v>
      </c>
      <c r="Q10" s="869"/>
    </row>
    <row r="11" spans="1:19" s="526" customFormat="1" ht="19.5" thickBot="1" x14ac:dyDescent="0.3">
      <c r="A11" s="866"/>
      <c r="B11" s="866"/>
      <c r="C11" s="866"/>
      <c r="D11" s="866"/>
      <c r="E11" s="866"/>
      <c r="F11" s="868"/>
      <c r="G11" s="596" t="s">
        <v>54</v>
      </c>
      <c r="H11" s="573" t="s">
        <v>73</v>
      </c>
      <c r="I11" s="868"/>
      <c r="J11" s="596" t="s">
        <v>54</v>
      </c>
      <c r="K11" s="573" t="s">
        <v>73</v>
      </c>
      <c r="L11" s="868"/>
      <c r="M11" s="596" t="s">
        <v>54</v>
      </c>
      <c r="N11" s="573" t="s">
        <v>73</v>
      </c>
      <c r="O11" s="868"/>
      <c r="P11" s="596" t="s">
        <v>54</v>
      </c>
      <c r="Q11" s="573" t="s">
        <v>73</v>
      </c>
    </row>
    <row r="12" spans="1:19" s="526" customFormat="1" x14ac:dyDescent="0.25">
      <c r="A12" s="863" t="s">
        <v>453</v>
      </c>
      <c r="B12" s="864"/>
      <c r="C12" s="864"/>
      <c r="D12" s="864"/>
      <c r="E12" s="865"/>
      <c r="F12" s="574" t="str">
        <f>IFERROR(SUMIF($D$23:$D$123,"НПР",$H$23:$H$123)/12/SUMIF(Распределение!$E$13:$E$113,"НПР",Распределение!$M$13:$M$113),"-")</f>
        <v>-</v>
      </c>
      <c r="G12" s="574" t="str">
        <f>IFERROR(SUMIF($C$23:$C$123,"ППС",$H$23:$H$123)/12/SUMIF(Премирование!$C$23:$C$123,"ППС",Премирование!$E$23:$E$123),"-")</f>
        <v>-</v>
      </c>
      <c r="H12" s="575" t="str">
        <f>IFERROR(SUMIF($C$23:$C$123,"НС",$H$23:$H$123)/12/SUMIF(Премирование!$C$23:$C$123,"НС",Премирование!$E$23:$E$123),"-")</f>
        <v>-</v>
      </c>
      <c r="I12" s="574" t="str">
        <f>IFERROR(SUMIF($D$23:$D$123,"НПР",$K$23:$K$123)/12/SUMIF(Распределение!$E$13:$E$113,"НПР",Распределение!$M$13:$M$113),"-")</f>
        <v>-</v>
      </c>
      <c r="J12" s="574" t="str">
        <f>IFERROR(SUMIF($C$23:$C$123,"ППС",$K$23:$K$123)/12/SUMIF(Премирование!$C$23:$C$123,"ППС",Премирование!$E$23:$E$123),"-")</f>
        <v>-</v>
      </c>
      <c r="K12" s="575" t="str">
        <f>IFERROR(SUMIF($C$23:$C$123,"НС",$K$23:$K$123)/12/SUMIF(Премирование!$C$23:$C$123,"НС",Премирование!$E$23:$E$123),"-")</f>
        <v>-</v>
      </c>
      <c r="L12" s="574" t="str">
        <f>IFERROR(SUMIF($D$23:$D$123,"НПР",$N$23:$N$123)/12/SUMIF(Распределение!$E$13:$E$113,"НПР",Распределение!$M$13:$M$113),"-")</f>
        <v>-</v>
      </c>
      <c r="M12" s="574" t="str">
        <f>IFERROR(SUMIF($C$23:$C$123,"ППС",$N$23:$N$123)/12/SUMIF(Премирование!$C$23:$C$123,"ППС",Премирование!$E$23:$E$123),"-")</f>
        <v>-</v>
      </c>
      <c r="N12" s="575" t="str">
        <f>IFERROR(SUMIF($C$23:$C$123,"НС",$N$23:$N$123)/12/SUMIF(Премирование!$C$23:$C$123,"НС",Премирование!$E$23:$E$123),"-")</f>
        <v>-</v>
      </c>
      <c r="O12" s="574" t="str">
        <f>IFERROR(SUMIF($D$23:$D$123,"НПР",$O$23:$O$123)/12/SUMIF(Распределение!$E$13:$E$113,"НПР",Распределение!$M$13:$M$113),"-")</f>
        <v>-</v>
      </c>
      <c r="P12" s="574" t="str">
        <f>IFERROR(SUMIF($C$23:$C$123,"ППС",$O$23:$O$123)/12/SUMIF(Премирование!$C$23:$C$123,"ППС",Премирование!$E$23:$E$123),"-")</f>
        <v>-</v>
      </c>
      <c r="Q12" s="575" t="str">
        <f>IFERROR(SUMIF($C$23:$C$123,"НС",$O$23:$O$123)/12/SUMIF(Премирование!$C$23:$C$123,"НС",Премирование!$E$23:$E$123),"-")</f>
        <v>-</v>
      </c>
    </row>
    <row r="13" spans="1:19" s="526" customFormat="1" x14ac:dyDescent="0.25">
      <c r="A13" s="863" t="s">
        <v>454</v>
      </c>
      <c r="B13" s="864"/>
      <c r="C13" s="864"/>
      <c r="D13" s="864"/>
      <c r="E13" s="865"/>
      <c r="F13" s="576" t="str">
        <f>IFERROR($F12*Выплаты!$C$3/Выплаты!$C$2,"-")</f>
        <v>-</v>
      </c>
      <c r="G13" s="576" t="str">
        <f>IFERROR($G12*Выплаты!$C$3/Выплаты!$C$2,"-")</f>
        <v>-</v>
      </c>
      <c r="H13" s="577" t="str">
        <f>IFERROR($H12*Выплаты!$C$3/Выплаты!$C$2,"-")</f>
        <v>-</v>
      </c>
      <c r="I13" s="576" t="str">
        <f>IFERROR($I12*Выплаты!$C$3/Выплаты!$C$2,"-")</f>
        <v>-</v>
      </c>
      <c r="J13" s="576" t="str">
        <f>IFERROR($J12*Выплаты!$C$3/Выплаты!$C$2,"-")</f>
        <v>-</v>
      </c>
      <c r="K13" s="577" t="str">
        <f>IFERROR($K12*Выплаты!$C$3/Выплаты!$C$2,"-")</f>
        <v>-</v>
      </c>
      <c r="L13" s="576" t="str">
        <f>IFERROR($L12*Выплаты!$C$3/Выплаты!$C$2,"-")</f>
        <v>-</v>
      </c>
      <c r="M13" s="576" t="str">
        <f>IFERROR($M12*Выплаты!$C$3/Выплаты!$C$2,"-")</f>
        <v>-</v>
      </c>
      <c r="N13" s="577" t="str">
        <f>IFERROR($N12*Выплаты!$C$3/Выплаты!$C$2,"-")</f>
        <v>-</v>
      </c>
      <c r="O13" s="576" t="str">
        <f>IFERROR($O12*Выплаты!$C$3/Выплаты!$C$2,"-")</f>
        <v>-</v>
      </c>
      <c r="P13" s="576" t="str">
        <f>IFERROR($P12*Выплаты!$C$3/Выплаты!$C$2,"-")</f>
        <v>-</v>
      </c>
      <c r="Q13" s="577" t="str">
        <f>IFERROR($Q12*Выплаты!$C$3/Выплаты!$C$2,"-")</f>
        <v>-</v>
      </c>
    </row>
    <row r="14" spans="1:19" s="526" customFormat="1" x14ac:dyDescent="0.25">
      <c r="A14" s="863" t="s">
        <v>444</v>
      </c>
      <c r="B14" s="864"/>
      <c r="C14" s="864"/>
      <c r="D14" s="864"/>
      <c r="E14" s="865"/>
      <c r="F14" s="574" t="str">
        <f>IFERROR((SUMIF(Выплаты!$D$14:$D$113,"НПР",Выплаты!$J$14:$J$113)+(SUMIF(Выплаты!$D$14:$D$113,"НПР",Выплаты!$K$14:$K$113)))/12/SUMIF(Распределение!$E$13:$E$113,"НПР",Распределение!$M$13:$M$113),"-")</f>
        <v>-</v>
      </c>
      <c r="G14" s="574" t="str">
        <f>IFERROR((SUMIF(Выплаты!$C$14:$C$113,"ППС",Выплаты!$J$14:$J$113)+(SUMIF(Выплаты!$C$14:$C$113,"ППС",Выплаты!$K$14:$K$113)))/12/SUMIF(Премирование!$C$23:$C$123,"ППС",Премирование!$E$23:$E$123),"-")</f>
        <v>-</v>
      </c>
      <c r="H14" s="575" t="str">
        <f>IFERROR((SUMIF(Выплаты!$C$14:$C$113,"НС",Выплаты!$J$14:$J$113)+(SUMIF(Выплаты!$C$14:$C$113,"НС",Выплаты!$K$14:$K$113)))/12/SUMIF(Премирование!$C$23:$C$123,"НС",Премирование!$E$23:$E$123),"-")</f>
        <v>-</v>
      </c>
      <c r="I14" s="574" t="str">
        <f>IFERROR((SUMIF(Выплаты!$D$14:$D$113,"НПР",Выплаты!$O$14:$O$113)+(SUMIF(Выплаты!$D$14:$D$113,"НПР",Выплаты!$P$14:$P$113)))/12/SUMIF(Распределение!$E$13:$E$113,"НПР",Распределение!$M$13:$M$113),"-")</f>
        <v>-</v>
      </c>
      <c r="J14" s="574" t="str">
        <f>IFERROR((SUMIF(Выплаты!$C$14:$C$113,"ППС",Выплаты!$O$14:$O$113)+(SUMIF(Выплаты!$C$14:$C$113,"ППС",Выплаты!$P$14:$P$113)))/12/SUMIF(Премирование!$C$23:$C$123,"ППС",Премирование!$E$23:$E$123),"-")</f>
        <v>-</v>
      </c>
      <c r="K14" s="575" t="str">
        <f>IFERROR((SUMIF(Выплаты!$C$14:$C$113,"НС",Выплаты!$O$14:$O$113)+(SUMIF(Выплаты!$C$14:$C$113,"НС",Выплаты!$P$14:$P$113)))/12/SUMIF(Премирование!$C$23:$C$123,"НС",Премирование!$E$23:$E$123),"-")</f>
        <v>-</v>
      </c>
      <c r="L14" s="574" t="str">
        <f>IFERROR((SUMIF(Выплаты!$D$14:$D$113,"НПР",Выплаты!$T$14:$T$113)+(SUMIF(Выплаты!$D$14:$D$113,"НПР",Выплаты!$U$14:$U$113)))/12/SUMIF(Распределение!$E$13:$E$113,"НПР",Распределение!$M$13:$M$113),"-")</f>
        <v>-</v>
      </c>
      <c r="M14" s="574" t="str">
        <f>IFERROR((SUMIF(Выплаты!$C$14:$C$113,"ППС",Выплаты!$T$14:$T$113)+(SUMIF(Выплаты!$C$14:$C$113,"ППС",Выплаты!$U$14:$U$113)))/12/SUMIF(Премирование!$C$23:$C$123,"ППС",Премирование!$E$23:$E$123),"-")</f>
        <v>-</v>
      </c>
      <c r="N14" s="575" t="str">
        <f>IFERROR((SUMIF(Выплаты!$C$14:$C$113,"НС",Выплаты!$T$14:$T$113)+(SUMIF(Выплаты!$C$14:$C$113,"НС",Выплаты!$U$14:$U$113)))/12/SUMIF(Премирование!$C$23:$C$123,"НС",Премирование!$E$23:$E$123),"-")</f>
        <v>-</v>
      </c>
      <c r="O14" s="574" t="str">
        <f>IFERROR(SUMIF(Выплаты!$D$14:$D$113,"НПР",Выплаты!$AA$14:$AA$113)/12/SUMIF(Распределение!$E$13:$E$113,"НПР",Распределение!$M$13:$M$113),"-")</f>
        <v>-</v>
      </c>
      <c r="P14" s="574" t="str">
        <f>IFERROR((SUMIF(Выплаты!$C$14:$C$113,"ППС",Выплаты!$AA$14:$AA$113))/12/SUMIF(Премирование!$C$23:$C$123,"ППС",Премирование!$E$23:$E$123),"-")</f>
        <v>-</v>
      </c>
      <c r="Q14" s="575" t="str">
        <f>IFERROR((SUMIF(Выплаты!$C$14:$C$113,"НС",Выплаты!$AA$14:$AA$113))/12/SUMIF(Премирование!$C$23:$C$123,"НС",Премирование!$E$23:$E$123),"-")</f>
        <v>-</v>
      </c>
    </row>
    <row r="15" spans="1:19" s="526" customFormat="1" ht="19.5" thickBot="1" x14ac:dyDescent="0.3">
      <c r="A15" s="863" t="s">
        <v>445</v>
      </c>
      <c r="B15" s="864"/>
      <c r="C15" s="864"/>
      <c r="D15" s="864"/>
      <c r="E15" s="865"/>
      <c r="F15" s="576" t="str">
        <f>IFERROR($F14*Выплаты!$C$3/Выплаты!$C$2,"-")</f>
        <v>-</v>
      </c>
      <c r="G15" s="576" t="str">
        <f>IFERROR(G14*Выплаты!$C$3/Выплаты!$C$2,"-")</f>
        <v>-</v>
      </c>
      <c r="H15" s="577" t="str">
        <f>IFERROR(H14*Выплаты!$C$3/Выплаты!$C$2,"-")</f>
        <v>-</v>
      </c>
      <c r="I15" s="576" t="str">
        <f>IFERROR($I14*Выплаты!$C$3/Выплаты!$C$2,"-")</f>
        <v>-</v>
      </c>
      <c r="J15" s="576" t="str">
        <f>IFERROR(J14*Выплаты!$C$3/Выплаты!$C$2,"-")</f>
        <v>-</v>
      </c>
      <c r="K15" s="577" t="str">
        <f>IFERROR(K14*Выплаты!$C$3/Выплаты!$C$2,"-")</f>
        <v>-</v>
      </c>
      <c r="L15" s="576" t="str">
        <f>IFERROR($L14*Выплаты!$C$3/Выплаты!$C$2,"-")</f>
        <v>-</v>
      </c>
      <c r="M15" s="576" t="str">
        <f>IFERROR(M14*Выплаты!$C$3/Выплаты!$C$2,"-")</f>
        <v>-</v>
      </c>
      <c r="N15" s="577" t="str">
        <f>IFERROR(N14*Выплаты!$C$3/Выплаты!$C$2,"-")</f>
        <v>-</v>
      </c>
      <c r="O15" s="576" t="str">
        <f>IFERROR($O14*Выплаты!$C$3/Выплаты!$C$2,"-")</f>
        <v>-</v>
      </c>
      <c r="P15" s="576" t="str">
        <f>IFERROR(P14*Выплаты!$C$3/Выплаты!$C$2,"-")</f>
        <v>-</v>
      </c>
      <c r="Q15" s="577" t="str">
        <f>IFERROR(Q14*Выплаты!$C$3/Выплаты!$C$2,"-")</f>
        <v>-</v>
      </c>
    </row>
    <row r="16" spans="1:19" s="526" customFormat="1" x14ac:dyDescent="0.25">
      <c r="A16" s="877" t="s">
        <v>446</v>
      </c>
      <c r="B16" s="878"/>
      <c r="C16" s="878"/>
      <c r="D16" s="878"/>
      <c r="E16" s="879"/>
      <c r="F16" s="585" t="str">
        <f>IFERROR(F14-F12,"-")</f>
        <v>-</v>
      </c>
      <c r="G16" s="585" t="str">
        <f>IFERROR(G14-G12,"-")</f>
        <v>-</v>
      </c>
      <c r="H16" s="586" t="str">
        <f t="shared" ref="G16:H17" si="0">IFERROR(H14-H12,"-")</f>
        <v>-</v>
      </c>
      <c r="I16" s="585" t="str">
        <f>IFERROR(I14-I12,"-")</f>
        <v>-</v>
      </c>
      <c r="J16" s="585" t="str">
        <f t="shared" ref="J16:K17" si="1">IFERROR(J14-J12,"-")</f>
        <v>-</v>
      </c>
      <c r="K16" s="586" t="str">
        <f t="shared" si="1"/>
        <v>-</v>
      </c>
      <c r="L16" s="585" t="str">
        <f>IFERROR(L14-L12,"-")</f>
        <v>-</v>
      </c>
      <c r="M16" s="585" t="str">
        <f t="shared" ref="M16:N17" si="2">IFERROR(M14-M12,"-")</f>
        <v>-</v>
      </c>
      <c r="N16" s="586" t="str">
        <f t="shared" si="2"/>
        <v>-</v>
      </c>
      <c r="O16" s="585" t="str">
        <f>IFERROR(O14-O12,"-")</f>
        <v>-</v>
      </c>
      <c r="P16" s="585" t="str">
        <f t="shared" ref="P16:Q17" si="3">IFERROR(P14-P12,"-")</f>
        <v>-</v>
      </c>
      <c r="Q16" s="586" t="str">
        <f t="shared" si="3"/>
        <v>-</v>
      </c>
    </row>
    <row r="17" spans="1:18" s="526" customFormat="1" ht="19.5" thickBot="1" x14ac:dyDescent="0.3">
      <c r="A17" s="880" t="s">
        <v>447</v>
      </c>
      <c r="B17" s="881"/>
      <c r="C17" s="881"/>
      <c r="D17" s="881"/>
      <c r="E17" s="882"/>
      <c r="F17" s="578" t="str">
        <f>IFERROR(F15-F13,"-")</f>
        <v>-</v>
      </c>
      <c r="G17" s="578" t="str">
        <f t="shared" si="0"/>
        <v>-</v>
      </c>
      <c r="H17" s="579" t="str">
        <f t="shared" si="0"/>
        <v>-</v>
      </c>
      <c r="I17" s="578" t="str">
        <f>IFERROR(I15-I13,"-")</f>
        <v>-</v>
      </c>
      <c r="J17" s="578" t="str">
        <f t="shared" si="1"/>
        <v>-</v>
      </c>
      <c r="K17" s="579" t="str">
        <f t="shared" si="1"/>
        <v>-</v>
      </c>
      <c r="L17" s="578" t="str">
        <f>IFERROR(L15-L13,"-")</f>
        <v>-</v>
      </c>
      <c r="M17" s="578" t="str">
        <f t="shared" si="2"/>
        <v>-</v>
      </c>
      <c r="N17" s="579" t="str">
        <f t="shared" si="2"/>
        <v>-</v>
      </c>
      <c r="O17" s="578" t="str">
        <f>IFERROR(O15-O13,"-")</f>
        <v>-</v>
      </c>
      <c r="P17" s="578" t="str">
        <f t="shared" si="3"/>
        <v>-</v>
      </c>
      <c r="Q17" s="579" t="str">
        <f t="shared" si="3"/>
        <v>-</v>
      </c>
    </row>
    <row r="18" spans="1:18" x14ac:dyDescent="0.3">
      <c r="F18" s="229"/>
      <c r="G18" s="229"/>
    </row>
    <row r="19" spans="1:18" ht="63.75" customHeight="1" x14ac:dyDescent="0.3">
      <c r="A19" s="883" t="str">
        <f>Распределение!B8</f>
        <v>ФИО</v>
      </c>
      <c r="B19" s="883" t="str">
        <f>Распределение!L9</f>
        <v>Должность участника НИР</v>
      </c>
      <c r="C19" s="883" t="s">
        <v>448</v>
      </c>
      <c r="D19" s="883" t="s">
        <v>117</v>
      </c>
      <c r="E19" s="883" t="str">
        <f>Распределение!M9</f>
        <v>Размер занимаемой ставки</v>
      </c>
      <c r="F19" s="883" t="s">
        <v>378</v>
      </c>
      <c r="G19" s="883"/>
      <c r="H19" s="883"/>
      <c r="I19" s="883" t="s">
        <v>379</v>
      </c>
      <c r="J19" s="883"/>
      <c r="K19" s="883"/>
      <c r="L19" s="883" t="s">
        <v>380</v>
      </c>
      <c r="M19" s="883"/>
      <c r="N19" s="883"/>
      <c r="O19" s="883" t="s">
        <v>449</v>
      </c>
      <c r="P19" s="883"/>
      <c r="Q19" s="883"/>
    </row>
    <row r="20" spans="1:18" ht="63.75" customHeight="1" x14ac:dyDescent="0.3">
      <c r="A20" s="883"/>
      <c r="B20" s="883"/>
      <c r="C20" s="883"/>
      <c r="D20" s="883"/>
      <c r="E20" s="883"/>
      <c r="F20" s="594" t="s">
        <v>419</v>
      </c>
      <c r="G20" s="595" t="s">
        <v>383</v>
      </c>
      <c r="H20" s="594" t="s">
        <v>64</v>
      </c>
      <c r="I20" s="594" t="s">
        <v>419</v>
      </c>
      <c r="J20" s="595" t="s">
        <v>383</v>
      </c>
      <c r="K20" s="594" t="s">
        <v>64</v>
      </c>
      <c r="L20" s="594" t="s">
        <v>419</v>
      </c>
      <c r="M20" s="595" t="s">
        <v>383</v>
      </c>
      <c r="N20" s="594" t="s">
        <v>64</v>
      </c>
      <c r="O20" s="884" t="s">
        <v>383</v>
      </c>
      <c r="P20" s="884"/>
      <c r="Q20" s="884"/>
    </row>
    <row r="21" spans="1:18" s="498" customFormat="1" x14ac:dyDescent="0.3">
      <c r="A21" s="873" t="s">
        <v>386</v>
      </c>
      <c r="B21" s="874"/>
      <c r="C21" s="874"/>
      <c r="D21" s="875"/>
      <c r="E21" s="580">
        <f t="shared" ref="E21:O21" si="4">SUM(E23:E123)</f>
        <v>0</v>
      </c>
      <c r="F21" s="580">
        <f t="shared" si="4"/>
        <v>0</v>
      </c>
      <c r="G21" s="580">
        <f t="shared" si="4"/>
        <v>0</v>
      </c>
      <c r="H21" s="580">
        <f t="shared" si="4"/>
        <v>0</v>
      </c>
      <c r="I21" s="580">
        <f t="shared" si="4"/>
        <v>0</v>
      </c>
      <c r="J21" s="580">
        <f t="shared" si="4"/>
        <v>0</v>
      </c>
      <c r="K21" s="580">
        <f t="shared" si="4"/>
        <v>0</v>
      </c>
      <c r="L21" s="597">
        <f t="shared" si="4"/>
        <v>0</v>
      </c>
      <c r="M21" s="597">
        <f t="shared" si="4"/>
        <v>0</v>
      </c>
      <c r="N21" s="597">
        <f t="shared" si="4"/>
        <v>0</v>
      </c>
      <c r="O21" s="876">
        <f t="shared" si="4"/>
        <v>0</v>
      </c>
      <c r="P21" s="876"/>
      <c r="Q21" s="876"/>
    </row>
    <row r="22" spans="1:18" x14ac:dyDescent="0.3">
      <c r="A22" s="870" t="s">
        <v>420</v>
      </c>
      <c r="B22" s="870"/>
      <c r="C22" s="870"/>
      <c r="D22" s="870"/>
      <c r="E22" s="870"/>
      <c r="F22" s="630"/>
      <c r="G22" s="593">
        <f>Выплаты!K13</f>
        <v>0</v>
      </c>
      <c r="H22" s="593"/>
      <c r="I22" s="593"/>
      <c r="J22" s="593">
        <f>Выплаты!P13</f>
        <v>0</v>
      </c>
      <c r="K22" s="593"/>
      <c r="L22" s="593"/>
      <c r="M22" s="593">
        <f>Выплаты!U13</f>
        <v>0</v>
      </c>
      <c r="N22" s="593"/>
      <c r="O22" s="871">
        <f>Выплаты!AA13</f>
        <v>0</v>
      </c>
      <c r="P22" s="871"/>
      <c r="Q22" s="871"/>
    </row>
    <row r="23" spans="1:18" x14ac:dyDescent="0.3">
      <c r="A23" s="581">
        <f>Распределение!B13</f>
        <v>0</v>
      </c>
      <c r="B23" s="581">
        <f>Распределение!L13</f>
        <v>0</v>
      </c>
      <c r="C23" s="582" t="str">
        <f>'Состав ВТК'!$H9</f>
        <v>-</v>
      </c>
      <c r="D23" s="582" t="str">
        <f>'Состав ВТК'!$I9</f>
        <v>-</v>
      </c>
      <c r="E23" s="582">
        <f>Распределение!M13</f>
        <v>0</v>
      </c>
      <c r="F23" s="582">
        <f>Выплаты!J14</f>
        <v>0</v>
      </c>
      <c r="G23" s="583"/>
      <c r="H23" s="582">
        <f t="shared" ref="H23" si="5">F23+G23</f>
        <v>0</v>
      </c>
      <c r="I23" s="582">
        <f>Выплаты!O14</f>
        <v>0</v>
      </c>
      <c r="J23" s="583"/>
      <c r="K23" s="582">
        <f>I23+J23</f>
        <v>0</v>
      </c>
      <c r="L23" s="500">
        <f>Выплаты!T14</f>
        <v>0</v>
      </c>
      <c r="M23" s="592"/>
      <c r="N23" s="500">
        <f>L23+M23</f>
        <v>0</v>
      </c>
      <c r="O23" s="859"/>
      <c r="P23" s="859"/>
      <c r="Q23" s="859"/>
      <c r="R23" s="420"/>
    </row>
    <row r="24" spans="1:18" x14ac:dyDescent="0.3">
      <c r="A24" s="581">
        <f>Распределение!B14</f>
        <v>0</v>
      </c>
      <c r="B24" s="581">
        <f>Распределение!L14</f>
        <v>0</v>
      </c>
      <c r="C24" s="582" t="str">
        <f>'Состав ВТК'!$H10</f>
        <v>-</v>
      </c>
      <c r="D24" s="582" t="str">
        <f>'Состав ВТК'!$I10</f>
        <v>-</v>
      </c>
      <c r="E24" s="582">
        <f>Распределение!M14</f>
        <v>0</v>
      </c>
      <c r="F24" s="582">
        <f>Выплаты!J15</f>
        <v>0</v>
      </c>
      <c r="G24" s="583"/>
      <c r="H24" s="582">
        <f t="shared" ref="H24:H35" si="6">F24+G24</f>
        <v>0</v>
      </c>
      <c r="I24" s="582">
        <f>Выплаты!O15</f>
        <v>0</v>
      </c>
      <c r="J24" s="583"/>
      <c r="K24" s="582">
        <f t="shared" ref="K24:K35" si="7">I24+J24</f>
        <v>0</v>
      </c>
      <c r="L24" s="500">
        <f>Выплаты!T15</f>
        <v>0</v>
      </c>
      <c r="M24" s="592"/>
      <c r="N24" s="500">
        <f t="shared" ref="N24:N35" si="8">L24+M24</f>
        <v>0</v>
      </c>
      <c r="O24" s="859"/>
      <c r="P24" s="859"/>
      <c r="Q24" s="859"/>
    </row>
    <row r="25" spans="1:18" x14ac:dyDescent="0.3">
      <c r="A25" s="581">
        <f>Распределение!B15</f>
        <v>0</v>
      </c>
      <c r="B25" s="581">
        <f>Распределение!L15</f>
        <v>0</v>
      </c>
      <c r="C25" s="582" t="str">
        <f>'Состав ВТК'!$H11</f>
        <v>-</v>
      </c>
      <c r="D25" s="582" t="str">
        <f>'Состав ВТК'!$I11</f>
        <v>-</v>
      </c>
      <c r="E25" s="582">
        <f>Распределение!M15</f>
        <v>0</v>
      </c>
      <c r="F25" s="582">
        <f>Выплаты!J16</f>
        <v>0</v>
      </c>
      <c r="G25" s="583"/>
      <c r="H25" s="582">
        <f t="shared" si="6"/>
        <v>0</v>
      </c>
      <c r="I25" s="582">
        <f>Выплаты!O16</f>
        <v>0</v>
      </c>
      <c r="J25" s="583"/>
      <c r="K25" s="582">
        <f t="shared" si="7"/>
        <v>0</v>
      </c>
      <c r="L25" s="500">
        <f>Выплаты!T16</f>
        <v>0</v>
      </c>
      <c r="M25" s="592"/>
      <c r="N25" s="500">
        <f t="shared" si="8"/>
        <v>0</v>
      </c>
      <c r="O25" s="859"/>
      <c r="P25" s="859"/>
      <c r="Q25" s="859"/>
      <c r="R25" s="420"/>
    </row>
    <row r="26" spans="1:18" x14ac:dyDescent="0.3">
      <c r="A26" s="581">
        <f>Распределение!B16</f>
        <v>0</v>
      </c>
      <c r="B26" s="581">
        <f>Распределение!L16</f>
        <v>0</v>
      </c>
      <c r="C26" s="582" t="str">
        <f>'Состав ВТК'!$H12</f>
        <v>-</v>
      </c>
      <c r="D26" s="582" t="str">
        <f>'Состав ВТК'!$I12</f>
        <v>-</v>
      </c>
      <c r="E26" s="582">
        <f>Распределение!M16</f>
        <v>0</v>
      </c>
      <c r="F26" s="582">
        <f>Выплаты!J17</f>
        <v>0</v>
      </c>
      <c r="G26" s="583"/>
      <c r="H26" s="582">
        <f t="shared" si="6"/>
        <v>0</v>
      </c>
      <c r="I26" s="582">
        <f>Выплаты!O17</f>
        <v>0</v>
      </c>
      <c r="J26" s="583"/>
      <c r="K26" s="582">
        <f t="shared" si="7"/>
        <v>0</v>
      </c>
      <c r="L26" s="500">
        <f>Выплаты!T17</f>
        <v>0</v>
      </c>
      <c r="M26" s="592"/>
      <c r="N26" s="500">
        <f t="shared" si="8"/>
        <v>0</v>
      </c>
      <c r="O26" s="859"/>
      <c r="P26" s="859"/>
      <c r="Q26" s="859"/>
    </row>
    <row r="27" spans="1:18" x14ac:dyDescent="0.3">
      <c r="A27" s="581">
        <f>Распределение!B17</f>
        <v>0</v>
      </c>
      <c r="B27" s="581">
        <f>Распределение!L17</f>
        <v>0</v>
      </c>
      <c r="C27" s="582" t="str">
        <f>'Состав ВТК'!$H13</f>
        <v>-</v>
      </c>
      <c r="D27" s="582" t="str">
        <f>'Состав ВТК'!$I13</f>
        <v>-</v>
      </c>
      <c r="E27" s="582">
        <f>Распределение!M17</f>
        <v>0</v>
      </c>
      <c r="F27" s="582">
        <f>Выплаты!J18</f>
        <v>0</v>
      </c>
      <c r="G27" s="583"/>
      <c r="H27" s="582">
        <f t="shared" si="6"/>
        <v>0</v>
      </c>
      <c r="I27" s="582">
        <f>Выплаты!O18</f>
        <v>0</v>
      </c>
      <c r="J27" s="583"/>
      <c r="K27" s="582">
        <f t="shared" si="7"/>
        <v>0</v>
      </c>
      <c r="L27" s="500">
        <f>Выплаты!T18</f>
        <v>0</v>
      </c>
      <c r="M27" s="592"/>
      <c r="N27" s="500">
        <f t="shared" si="8"/>
        <v>0</v>
      </c>
      <c r="O27" s="859"/>
      <c r="P27" s="859"/>
      <c r="Q27" s="859"/>
    </row>
    <row r="28" spans="1:18" x14ac:dyDescent="0.3">
      <c r="A28" s="581">
        <f>Распределение!B18</f>
        <v>0</v>
      </c>
      <c r="B28" s="581">
        <f>Распределение!L18</f>
        <v>0</v>
      </c>
      <c r="C28" s="582" t="str">
        <f>'Состав ВТК'!$H14</f>
        <v>-</v>
      </c>
      <c r="D28" s="582" t="str">
        <f>'Состав ВТК'!$I14</f>
        <v>-</v>
      </c>
      <c r="E28" s="582">
        <f>Распределение!M18</f>
        <v>0</v>
      </c>
      <c r="F28" s="582">
        <f>Выплаты!J19</f>
        <v>0</v>
      </c>
      <c r="G28" s="583"/>
      <c r="H28" s="582">
        <f t="shared" si="6"/>
        <v>0</v>
      </c>
      <c r="I28" s="582">
        <f>Выплаты!O19</f>
        <v>0</v>
      </c>
      <c r="J28" s="583"/>
      <c r="K28" s="582">
        <f t="shared" si="7"/>
        <v>0</v>
      </c>
      <c r="L28" s="500">
        <f>Выплаты!T19</f>
        <v>0</v>
      </c>
      <c r="M28" s="592"/>
      <c r="N28" s="500">
        <f t="shared" si="8"/>
        <v>0</v>
      </c>
      <c r="O28" s="859"/>
      <c r="P28" s="859"/>
      <c r="Q28" s="859"/>
    </row>
    <row r="29" spans="1:18" x14ac:dyDescent="0.3">
      <c r="A29" s="581">
        <f>Распределение!B19</f>
        <v>0</v>
      </c>
      <c r="B29" s="581">
        <f>Распределение!L19</f>
        <v>0</v>
      </c>
      <c r="C29" s="582" t="str">
        <f>'Состав ВТК'!$H15</f>
        <v>-</v>
      </c>
      <c r="D29" s="582" t="str">
        <f>'Состав ВТК'!$I15</f>
        <v>-</v>
      </c>
      <c r="E29" s="582">
        <f>Распределение!M19</f>
        <v>0</v>
      </c>
      <c r="F29" s="582">
        <f>Выплаты!J20</f>
        <v>0</v>
      </c>
      <c r="G29" s="583"/>
      <c r="H29" s="582">
        <f t="shared" si="6"/>
        <v>0</v>
      </c>
      <c r="I29" s="582">
        <f>Выплаты!O20</f>
        <v>0</v>
      </c>
      <c r="J29" s="583"/>
      <c r="K29" s="582">
        <f t="shared" si="7"/>
        <v>0</v>
      </c>
      <c r="L29" s="500">
        <f>Выплаты!T20</f>
        <v>0</v>
      </c>
      <c r="M29" s="592"/>
      <c r="N29" s="500">
        <f t="shared" si="8"/>
        <v>0</v>
      </c>
      <c r="O29" s="859"/>
      <c r="P29" s="859"/>
      <c r="Q29" s="859"/>
      <c r="R29" s="420"/>
    </row>
    <row r="30" spans="1:18" x14ac:dyDescent="0.3">
      <c r="A30" s="581">
        <f>Распределение!B20</f>
        <v>0</v>
      </c>
      <c r="B30" s="581">
        <f>Распределение!L20</f>
        <v>0</v>
      </c>
      <c r="C30" s="582" t="str">
        <f>'Состав ВТК'!$H16</f>
        <v>-</v>
      </c>
      <c r="D30" s="582" t="str">
        <f>'Состав ВТК'!$I16</f>
        <v>-</v>
      </c>
      <c r="E30" s="582">
        <f>Распределение!M20</f>
        <v>0</v>
      </c>
      <c r="F30" s="582">
        <f>Выплаты!J21</f>
        <v>0</v>
      </c>
      <c r="G30" s="583"/>
      <c r="H30" s="582">
        <f t="shared" si="6"/>
        <v>0</v>
      </c>
      <c r="I30" s="582">
        <f>Выплаты!O21</f>
        <v>0</v>
      </c>
      <c r="J30" s="583"/>
      <c r="K30" s="582">
        <f t="shared" si="7"/>
        <v>0</v>
      </c>
      <c r="L30" s="500">
        <f>Выплаты!T21</f>
        <v>0</v>
      </c>
      <c r="M30" s="592"/>
      <c r="N30" s="500">
        <f t="shared" si="8"/>
        <v>0</v>
      </c>
      <c r="O30" s="859"/>
      <c r="P30" s="859"/>
      <c r="Q30" s="859"/>
    </row>
    <row r="31" spans="1:18" x14ac:dyDescent="0.3">
      <c r="A31" s="581">
        <f>Распределение!B21</f>
        <v>0</v>
      </c>
      <c r="B31" s="581">
        <f>Распределение!L21</f>
        <v>0</v>
      </c>
      <c r="C31" s="582" t="str">
        <f>'Состав ВТК'!$H17</f>
        <v>-</v>
      </c>
      <c r="D31" s="582" t="str">
        <f>'Состав ВТК'!$I17</f>
        <v>-</v>
      </c>
      <c r="E31" s="582">
        <f>Распределение!M21</f>
        <v>0</v>
      </c>
      <c r="F31" s="582">
        <f>Выплаты!J22</f>
        <v>0</v>
      </c>
      <c r="G31" s="583"/>
      <c r="H31" s="582">
        <f t="shared" si="6"/>
        <v>0</v>
      </c>
      <c r="I31" s="582">
        <f>Выплаты!O22</f>
        <v>0</v>
      </c>
      <c r="J31" s="583"/>
      <c r="K31" s="582">
        <f t="shared" si="7"/>
        <v>0</v>
      </c>
      <c r="L31" s="500">
        <f>Выплаты!T22</f>
        <v>0</v>
      </c>
      <c r="M31" s="592"/>
      <c r="N31" s="500">
        <f t="shared" si="8"/>
        <v>0</v>
      </c>
      <c r="O31" s="859"/>
      <c r="P31" s="859"/>
      <c r="Q31" s="859"/>
    </row>
    <row r="32" spans="1:18" x14ac:dyDescent="0.3">
      <c r="A32" s="581">
        <f>Распределение!B22</f>
        <v>0</v>
      </c>
      <c r="B32" s="581">
        <f>Распределение!L22</f>
        <v>0</v>
      </c>
      <c r="C32" s="582" t="str">
        <f>'Состав ВТК'!$H18</f>
        <v>-</v>
      </c>
      <c r="D32" s="582" t="str">
        <f>'Состав ВТК'!$I18</f>
        <v>-</v>
      </c>
      <c r="E32" s="582">
        <f>Распределение!M22</f>
        <v>0</v>
      </c>
      <c r="F32" s="582">
        <f>Выплаты!J23</f>
        <v>0</v>
      </c>
      <c r="G32" s="583"/>
      <c r="H32" s="582">
        <f t="shared" si="6"/>
        <v>0</v>
      </c>
      <c r="I32" s="582">
        <f>Выплаты!O23</f>
        <v>0</v>
      </c>
      <c r="J32" s="583"/>
      <c r="K32" s="582">
        <f t="shared" si="7"/>
        <v>0</v>
      </c>
      <c r="L32" s="500">
        <f>Выплаты!T23</f>
        <v>0</v>
      </c>
      <c r="M32" s="592"/>
      <c r="N32" s="500">
        <f t="shared" si="8"/>
        <v>0</v>
      </c>
      <c r="O32" s="859"/>
      <c r="P32" s="859"/>
      <c r="Q32" s="859"/>
    </row>
    <row r="33" spans="1:17" x14ac:dyDescent="0.3">
      <c r="A33" s="581">
        <f>Распределение!B23</f>
        <v>0</v>
      </c>
      <c r="B33" s="581">
        <f>Распределение!L23</f>
        <v>0</v>
      </c>
      <c r="C33" s="582" t="str">
        <f>'Состав ВТК'!$H19</f>
        <v>-</v>
      </c>
      <c r="D33" s="582" t="str">
        <f>'Состав ВТК'!$I19</f>
        <v>-</v>
      </c>
      <c r="E33" s="582">
        <f>Распределение!M23</f>
        <v>0</v>
      </c>
      <c r="F33" s="582">
        <f>Выплаты!J24</f>
        <v>0</v>
      </c>
      <c r="G33" s="583"/>
      <c r="H33" s="582">
        <f t="shared" si="6"/>
        <v>0</v>
      </c>
      <c r="I33" s="582">
        <f>Выплаты!O24</f>
        <v>0</v>
      </c>
      <c r="J33" s="583"/>
      <c r="K33" s="582">
        <f t="shared" si="7"/>
        <v>0</v>
      </c>
      <c r="L33" s="500">
        <f>Выплаты!T24</f>
        <v>0</v>
      </c>
      <c r="M33" s="592"/>
      <c r="N33" s="500">
        <f t="shared" si="8"/>
        <v>0</v>
      </c>
      <c r="O33" s="859"/>
      <c r="P33" s="859"/>
      <c r="Q33" s="859"/>
    </row>
    <row r="34" spans="1:17" ht="17.25" customHeight="1" x14ac:dyDescent="0.3">
      <c r="A34" s="581">
        <f>Распределение!B24</f>
        <v>0</v>
      </c>
      <c r="B34" s="581">
        <f>Распределение!L24</f>
        <v>0</v>
      </c>
      <c r="C34" s="582" t="str">
        <f>'Состав ВТК'!$H20</f>
        <v>-</v>
      </c>
      <c r="D34" s="582" t="str">
        <f>'Состав ВТК'!$I20</f>
        <v>-</v>
      </c>
      <c r="E34" s="582">
        <f>Распределение!M24</f>
        <v>0</v>
      </c>
      <c r="F34" s="582">
        <f>Выплаты!J25</f>
        <v>0</v>
      </c>
      <c r="G34" s="583"/>
      <c r="H34" s="582">
        <f t="shared" si="6"/>
        <v>0</v>
      </c>
      <c r="I34" s="582">
        <f>Выплаты!O25</f>
        <v>0</v>
      </c>
      <c r="J34" s="583"/>
      <c r="K34" s="582">
        <f t="shared" si="7"/>
        <v>0</v>
      </c>
      <c r="L34" s="500">
        <f>Выплаты!T25</f>
        <v>0</v>
      </c>
      <c r="M34" s="592"/>
      <c r="N34" s="500">
        <f t="shared" si="8"/>
        <v>0</v>
      </c>
      <c r="O34" s="859"/>
      <c r="P34" s="859"/>
      <c r="Q34" s="859"/>
    </row>
    <row r="35" spans="1:17" x14ac:dyDescent="0.3">
      <c r="A35" s="581">
        <f>Распределение!B25</f>
        <v>0</v>
      </c>
      <c r="B35" s="581">
        <f>Распределение!L25</f>
        <v>0</v>
      </c>
      <c r="C35" s="582" t="str">
        <f>'Состав ВТК'!$H21</f>
        <v>-</v>
      </c>
      <c r="D35" s="582" t="str">
        <f>'Состав ВТК'!$I21</f>
        <v>-</v>
      </c>
      <c r="E35" s="582">
        <f>Распределение!M25</f>
        <v>0</v>
      </c>
      <c r="F35" s="582">
        <f>Выплаты!J26</f>
        <v>0</v>
      </c>
      <c r="G35" s="583"/>
      <c r="H35" s="582">
        <f t="shared" si="6"/>
        <v>0</v>
      </c>
      <c r="I35" s="582">
        <f>Выплаты!O26</f>
        <v>0</v>
      </c>
      <c r="J35" s="583"/>
      <c r="K35" s="582">
        <f t="shared" si="7"/>
        <v>0</v>
      </c>
      <c r="L35" s="500">
        <f>Выплаты!T26</f>
        <v>0</v>
      </c>
      <c r="M35" s="592"/>
      <c r="N35" s="500">
        <f t="shared" si="8"/>
        <v>0</v>
      </c>
      <c r="O35" s="859"/>
      <c r="P35" s="859"/>
      <c r="Q35" s="859"/>
    </row>
    <row r="36" spans="1:17" outlineLevel="1" x14ac:dyDescent="0.3">
      <c r="A36" s="581">
        <f>Распределение!B26</f>
        <v>0</v>
      </c>
      <c r="B36" s="581">
        <f>Распределение!L26</f>
        <v>0</v>
      </c>
      <c r="C36" s="582" t="str">
        <f>'Состав ВТК'!$H22</f>
        <v>-</v>
      </c>
      <c r="D36" s="582" t="str">
        <f>'Состав ВТК'!$I22</f>
        <v>-</v>
      </c>
      <c r="E36" s="582">
        <f>Распределение!M26</f>
        <v>0</v>
      </c>
      <c r="F36" s="582">
        <f>Выплаты!J27</f>
        <v>0</v>
      </c>
      <c r="G36" s="583"/>
      <c r="H36" s="582">
        <f t="shared" ref="H36:H99" si="9">F36+G36</f>
        <v>0</v>
      </c>
      <c r="I36" s="582">
        <f>Выплаты!O27</f>
        <v>0</v>
      </c>
      <c r="J36" s="583"/>
      <c r="K36" s="582">
        <f t="shared" ref="K36:K99" si="10">I36+J36</f>
        <v>0</v>
      </c>
      <c r="L36" s="500">
        <f>Выплаты!T27</f>
        <v>0</v>
      </c>
      <c r="M36" s="592"/>
      <c r="N36" s="500">
        <f t="shared" ref="N36:N99" si="11">L36+M36</f>
        <v>0</v>
      </c>
      <c r="O36" s="859"/>
      <c r="P36" s="859"/>
      <c r="Q36" s="859"/>
    </row>
    <row r="37" spans="1:17" outlineLevel="1" x14ac:dyDescent="0.3">
      <c r="A37" s="581">
        <f>Распределение!B27</f>
        <v>0</v>
      </c>
      <c r="B37" s="581">
        <f>Распределение!L27</f>
        <v>0</v>
      </c>
      <c r="C37" s="582" t="str">
        <f>'Состав ВТК'!$H23</f>
        <v>-</v>
      </c>
      <c r="D37" s="582" t="str">
        <f>'Состав ВТК'!$I23</f>
        <v>-</v>
      </c>
      <c r="E37" s="582">
        <f>Распределение!M27</f>
        <v>0</v>
      </c>
      <c r="F37" s="582">
        <f>Выплаты!J28</f>
        <v>0</v>
      </c>
      <c r="G37" s="583"/>
      <c r="H37" s="582">
        <f t="shared" si="9"/>
        <v>0</v>
      </c>
      <c r="I37" s="582">
        <f>Выплаты!O28</f>
        <v>0</v>
      </c>
      <c r="J37" s="583"/>
      <c r="K37" s="582">
        <f t="shared" si="10"/>
        <v>0</v>
      </c>
      <c r="L37" s="500">
        <f>Выплаты!T28</f>
        <v>0</v>
      </c>
      <c r="M37" s="592"/>
      <c r="N37" s="500">
        <f t="shared" si="11"/>
        <v>0</v>
      </c>
      <c r="O37" s="859"/>
      <c r="P37" s="859"/>
      <c r="Q37" s="859"/>
    </row>
    <row r="38" spans="1:17" hidden="1" outlineLevel="1" x14ac:dyDescent="0.3">
      <c r="A38" s="581">
        <f>Распределение!B28</f>
        <v>0</v>
      </c>
      <c r="B38" s="581">
        <f>Распределение!L28</f>
        <v>0</v>
      </c>
      <c r="C38" s="582" t="str">
        <f>'Состав ВТК'!$H24</f>
        <v>-</v>
      </c>
      <c r="D38" s="582" t="str">
        <f>'Состав ВТК'!$I24</f>
        <v>-</v>
      </c>
      <c r="E38" s="582">
        <f>Распределение!M28</f>
        <v>0</v>
      </c>
      <c r="F38" s="582">
        <f>Выплаты!J29</f>
        <v>0</v>
      </c>
      <c r="G38" s="583"/>
      <c r="H38" s="582">
        <f t="shared" si="9"/>
        <v>0</v>
      </c>
      <c r="I38" s="582">
        <f>Выплаты!O29</f>
        <v>0</v>
      </c>
      <c r="J38" s="583"/>
      <c r="K38" s="582">
        <f t="shared" si="10"/>
        <v>0</v>
      </c>
      <c r="L38" s="500">
        <f>Выплаты!T29</f>
        <v>0</v>
      </c>
      <c r="M38" s="592"/>
      <c r="N38" s="500">
        <f t="shared" si="11"/>
        <v>0</v>
      </c>
      <c r="O38" s="859"/>
      <c r="P38" s="859"/>
      <c r="Q38" s="859"/>
    </row>
    <row r="39" spans="1:17" hidden="1" outlineLevel="1" x14ac:dyDescent="0.3">
      <c r="A39" s="581">
        <f>Распределение!B29</f>
        <v>0</v>
      </c>
      <c r="B39" s="581">
        <f>Распределение!L29</f>
        <v>0</v>
      </c>
      <c r="C39" s="582" t="str">
        <f>'Состав ВТК'!$H25</f>
        <v>-</v>
      </c>
      <c r="D39" s="582" t="str">
        <f>'Состав ВТК'!$I25</f>
        <v>-</v>
      </c>
      <c r="E39" s="582">
        <f>Распределение!M29</f>
        <v>0</v>
      </c>
      <c r="F39" s="582">
        <f>Выплаты!J30</f>
        <v>0</v>
      </c>
      <c r="G39" s="583"/>
      <c r="H39" s="582">
        <f t="shared" si="9"/>
        <v>0</v>
      </c>
      <c r="I39" s="582">
        <f>Выплаты!O30</f>
        <v>0</v>
      </c>
      <c r="J39" s="583"/>
      <c r="K39" s="582">
        <f t="shared" si="10"/>
        <v>0</v>
      </c>
      <c r="L39" s="500">
        <f>Выплаты!T30</f>
        <v>0</v>
      </c>
      <c r="M39" s="592"/>
      <c r="N39" s="500">
        <f t="shared" si="11"/>
        <v>0</v>
      </c>
      <c r="O39" s="859"/>
      <c r="P39" s="859"/>
      <c r="Q39" s="859"/>
    </row>
    <row r="40" spans="1:17" hidden="1" outlineLevel="1" x14ac:dyDescent="0.3">
      <c r="A40" s="581">
        <f>Распределение!B30</f>
        <v>0</v>
      </c>
      <c r="B40" s="581">
        <f>Распределение!L30</f>
        <v>0</v>
      </c>
      <c r="C40" s="582" t="str">
        <f>'Состав ВТК'!$H26</f>
        <v>-</v>
      </c>
      <c r="D40" s="582" t="str">
        <f>'Состав ВТК'!$I26</f>
        <v>-</v>
      </c>
      <c r="E40" s="582">
        <f>Распределение!M30</f>
        <v>0</v>
      </c>
      <c r="F40" s="582">
        <f>Выплаты!J31</f>
        <v>0</v>
      </c>
      <c r="G40" s="583"/>
      <c r="H40" s="582">
        <f t="shared" si="9"/>
        <v>0</v>
      </c>
      <c r="I40" s="582">
        <f>Выплаты!O31</f>
        <v>0</v>
      </c>
      <c r="J40" s="583"/>
      <c r="K40" s="582">
        <f t="shared" si="10"/>
        <v>0</v>
      </c>
      <c r="L40" s="500">
        <f>Выплаты!T31</f>
        <v>0</v>
      </c>
      <c r="M40" s="592"/>
      <c r="N40" s="500">
        <f t="shared" si="11"/>
        <v>0</v>
      </c>
      <c r="O40" s="859"/>
      <c r="P40" s="859"/>
      <c r="Q40" s="859"/>
    </row>
    <row r="41" spans="1:17" hidden="1" outlineLevel="1" x14ac:dyDescent="0.3">
      <c r="A41" s="581">
        <f>Распределение!B31</f>
        <v>0</v>
      </c>
      <c r="B41" s="581">
        <f>Распределение!L31</f>
        <v>0</v>
      </c>
      <c r="C41" s="582" t="str">
        <f>'Состав ВТК'!$H27</f>
        <v>-</v>
      </c>
      <c r="D41" s="582" t="str">
        <f>'Состав ВТК'!$I27</f>
        <v>-</v>
      </c>
      <c r="E41" s="582">
        <f>Распределение!M31</f>
        <v>0</v>
      </c>
      <c r="F41" s="582">
        <f>Выплаты!J32</f>
        <v>0</v>
      </c>
      <c r="G41" s="583"/>
      <c r="H41" s="582">
        <f t="shared" si="9"/>
        <v>0</v>
      </c>
      <c r="I41" s="582">
        <f>Выплаты!O32</f>
        <v>0</v>
      </c>
      <c r="J41" s="583"/>
      <c r="K41" s="582">
        <f t="shared" si="10"/>
        <v>0</v>
      </c>
      <c r="L41" s="500">
        <f>Выплаты!T32</f>
        <v>0</v>
      </c>
      <c r="M41" s="592"/>
      <c r="N41" s="500">
        <f t="shared" si="11"/>
        <v>0</v>
      </c>
      <c r="O41" s="859"/>
      <c r="P41" s="859"/>
      <c r="Q41" s="859"/>
    </row>
    <row r="42" spans="1:17" hidden="1" outlineLevel="1" x14ac:dyDescent="0.3">
      <c r="A42" s="581">
        <f>Распределение!B32</f>
        <v>0</v>
      </c>
      <c r="B42" s="581">
        <f>Распределение!L32</f>
        <v>0</v>
      </c>
      <c r="C42" s="582" t="str">
        <f>'Состав ВТК'!$H28</f>
        <v>-</v>
      </c>
      <c r="D42" s="582" t="str">
        <f>'Состав ВТК'!$I28</f>
        <v>-</v>
      </c>
      <c r="E42" s="582">
        <f>Распределение!M32</f>
        <v>0</v>
      </c>
      <c r="F42" s="582">
        <f>Выплаты!J33</f>
        <v>0</v>
      </c>
      <c r="G42" s="583"/>
      <c r="H42" s="582">
        <f t="shared" si="9"/>
        <v>0</v>
      </c>
      <c r="I42" s="582">
        <f>Выплаты!O33</f>
        <v>0</v>
      </c>
      <c r="J42" s="583"/>
      <c r="K42" s="582">
        <f t="shared" si="10"/>
        <v>0</v>
      </c>
      <c r="L42" s="500">
        <f>Выплаты!T33</f>
        <v>0</v>
      </c>
      <c r="M42" s="592"/>
      <c r="N42" s="500">
        <f t="shared" si="11"/>
        <v>0</v>
      </c>
      <c r="O42" s="859"/>
      <c r="P42" s="859"/>
      <c r="Q42" s="859"/>
    </row>
    <row r="43" spans="1:17" hidden="1" outlineLevel="1" x14ac:dyDescent="0.3">
      <c r="A43" s="581">
        <f>Распределение!B33</f>
        <v>0</v>
      </c>
      <c r="B43" s="581">
        <f>Распределение!L33</f>
        <v>0</v>
      </c>
      <c r="C43" s="582" t="str">
        <f>'Состав ВТК'!$H29</f>
        <v>-</v>
      </c>
      <c r="D43" s="582" t="str">
        <f>'Состав ВТК'!$I29</f>
        <v>-</v>
      </c>
      <c r="E43" s="582">
        <f>Распределение!M33</f>
        <v>0</v>
      </c>
      <c r="F43" s="582">
        <f>Выплаты!J34</f>
        <v>0</v>
      </c>
      <c r="G43" s="583"/>
      <c r="H43" s="582">
        <f t="shared" si="9"/>
        <v>0</v>
      </c>
      <c r="I43" s="582">
        <f>Выплаты!O34</f>
        <v>0</v>
      </c>
      <c r="J43" s="583"/>
      <c r="K43" s="582">
        <f t="shared" si="10"/>
        <v>0</v>
      </c>
      <c r="L43" s="500">
        <f>Выплаты!T34</f>
        <v>0</v>
      </c>
      <c r="M43" s="592"/>
      <c r="N43" s="500">
        <f t="shared" si="11"/>
        <v>0</v>
      </c>
      <c r="O43" s="859"/>
      <c r="P43" s="859"/>
      <c r="Q43" s="859"/>
    </row>
    <row r="44" spans="1:17" hidden="1" outlineLevel="1" x14ac:dyDescent="0.3">
      <c r="A44" s="581">
        <f>Распределение!B34</f>
        <v>0</v>
      </c>
      <c r="B44" s="581">
        <f>Распределение!L34</f>
        <v>0</v>
      </c>
      <c r="C44" s="582" t="str">
        <f>'Состав ВТК'!$H30</f>
        <v>-</v>
      </c>
      <c r="D44" s="582" t="str">
        <f>'Состав ВТК'!$I30</f>
        <v>-</v>
      </c>
      <c r="E44" s="582">
        <f>Распределение!M34</f>
        <v>0</v>
      </c>
      <c r="F44" s="582">
        <f>Выплаты!J35</f>
        <v>0</v>
      </c>
      <c r="G44" s="583"/>
      <c r="H44" s="582">
        <f t="shared" si="9"/>
        <v>0</v>
      </c>
      <c r="I44" s="582">
        <f>Выплаты!O35</f>
        <v>0</v>
      </c>
      <c r="J44" s="583"/>
      <c r="K44" s="582">
        <f t="shared" si="10"/>
        <v>0</v>
      </c>
      <c r="L44" s="500">
        <f>Выплаты!T35</f>
        <v>0</v>
      </c>
      <c r="M44" s="592"/>
      <c r="N44" s="500">
        <f t="shared" si="11"/>
        <v>0</v>
      </c>
      <c r="O44" s="859"/>
      <c r="P44" s="859"/>
      <c r="Q44" s="859"/>
    </row>
    <row r="45" spans="1:17" hidden="1" outlineLevel="1" x14ac:dyDescent="0.3">
      <c r="A45" s="581">
        <f>Распределение!B35</f>
        <v>0</v>
      </c>
      <c r="B45" s="581">
        <f>Распределение!L35</f>
        <v>0</v>
      </c>
      <c r="C45" s="582" t="str">
        <f>'Состав ВТК'!$H31</f>
        <v>-</v>
      </c>
      <c r="D45" s="582" t="str">
        <f>'Состав ВТК'!$I31</f>
        <v>-</v>
      </c>
      <c r="E45" s="582">
        <f>Распределение!M35</f>
        <v>0</v>
      </c>
      <c r="F45" s="582">
        <f>Выплаты!J36</f>
        <v>0</v>
      </c>
      <c r="G45" s="583"/>
      <c r="H45" s="582">
        <f t="shared" si="9"/>
        <v>0</v>
      </c>
      <c r="I45" s="582">
        <f>Выплаты!O36</f>
        <v>0</v>
      </c>
      <c r="J45" s="583"/>
      <c r="K45" s="582">
        <f t="shared" si="10"/>
        <v>0</v>
      </c>
      <c r="L45" s="500">
        <f>Выплаты!T36</f>
        <v>0</v>
      </c>
      <c r="M45" s="592"/>
      <c r="N45" s="500">
        <f t="shared" si="11"/>
        <v>0</v>
      </c>
      <c r="O45" s="859"/>
      <c r="P45" s="859"/>
      <c r="Q45" s="859"/>
    </row>
    <row r="46" spans="1:17" hidden="1" outlineLevel="1" x14ac:dyDescent="0.3">
      <c r="A46" s="581">
        <f>Распределение!B36</f>
        <v>0</v>
      </c>
      <c r="B46" s="581">
        <f>Распределение!L36</f>
        <v>0</v>
      </c>
      <c r="C46" s="582" t="str">
        <f>'Состав ВТК'!$H32</f>
        <v>-</v>
      </c>
      <c r="D46" s="582" t="str">
        <f>'Состав ВТК'!$I32</f>
        <v>-</v>
      </c>
      <c r="E46" s="582">
        <f>Распределение!M36</f>
        <v>0</v>
      </c>
      <c r="F46" s="582">
        <f>Выплаты!J37</f>
        <v>0</v>
      </c>
      <c r="G46" s="583"/>
      <c r="H46" s="582">
        <f t="shared" si="9"/>
        <v>0</v>
      </c>
      <c r="I46" s="582">
        <f>Выплаты!O37</f>
        <v>0</v>
      </c>
      <c r="J46" s="583"/>
      <c r="K46" s="582">
        <f t="shared" si="10"/>
        <v>0</v>
      </c>
      <c r="L46" s="500">
        <f>Выплаты!T37</f>
        <v>0</v>
      </c>
      <c r="M46" s="592"/>
      <c r="N46" s="500">
        <f t="shared" si="11"/>
        <v>0</v>
      </c>
      <c r="O46" s="859"/>
      <c r="P46" s="859"/>
      <c r="Q46" s="859"/>
    </row>
    <row r="47" spans="1:17" hidden="1" outlineLevel="1" x14ac:dyDescent="0.3">
      <c r="A47" s="581">
        <f>Распределение!B37</f>
        <v>0</v>
      </c>
      <c r="B47" s="581">
        <f>Распределение!L37</f>
        <v>0</v>
      </c>
      <c r="C47" s="582" t="str">
        <f>'Состав ВТК'!$H33</f>
        <v>-</v>
      </c>
      <c r="D47" s="582" t="str">
        <f>'Состав ВТК'!$I33</f>
        <v>-</v>
      </c>
      <c r="E47" s="582">
        <f>Распределение!M37</f>
        <v>0</v>
      </c>
      <c r="F47" s="582">
        <f>Выплаты!J38</f>
        <v>0</v>
      </c>
      <c r="G47" s="583"/>
      <c r="H47" s="582">
        <f t="shared" si="9"/>
        <v>0</v>
      </c>
      <c r="I47" s="582">
        <f>Выплаты!O38</f>
        <v>0</v>
      </c>
      <c r="J47" s="583"/>
      <c r="K47" s="582">
        <f t="shared" si="10"/>
        <v>0</v>
      </c>
      <c r="L47" s="500">
        <f>Выплаты!T38</f>
        <v>0</v>
      </c>
      <c r="M47" s="592"/>
      <c r="N47" s="500">
        <f t="shared" si="11"/>
        <v>0</v>
      </c>
      <c r="O47" s="859"/>
      <c r="P47" s="859"/>
      <c r="Q47" s="859"/>
    </row>
    <row r="48" spans="1:17" hidden="1" outlineLevel="1" x14ac:dyDescent="0.3">
      <c r="A48" s="581">
        <f>Распределение!B38</f>
        <v>0</v>
      </c>
      <c r="B48" s="581">
        <f>Распределение!L38</f>
        <v>0</v>
      </c>
      <c r="C48" s="582" t="str">
        <f>'Состав ВТК'!$H34</f>
        <v>-</v>
      </c>
      <c r="D48" s="582" t="str">
        <f>'Состав ВТК'!$I34</f>
        <v>-</v>
      </c>
      <c r="E48" s="582">
        <f>Распределение!M38</f>
        <v>0</v>
      </c>
      <c r="F48" s="582">
        <f>Выплаты!J39</f>
        <v>0</v>
      </c>
      <c r="G48" s="583"/>
      <c r="H48" s="582">
        <f t="shared" si="9"/>
        <v>0</v>
      </c>
      <c r="I48" s="582">
        <f>Выплаты!O39</f>
        <v>0</v>
      </c>
      <c r="J48" s="583"/>
      <c r="K48" s="582">
        <f t="shared" si="10"/>
        <v>0</v>
      </c>
      <c r="L48" s="500">
        <f>Выплаты!T39</f>
        <v>0</v>
      </c>
      <c r="M48" s="592"/>
      <c r="N48" s="500">
        <f t="shared" si="11"/>
        <v>0</v>
      </c>
      <c r="O48" s="859"/>
      <c r="P48" s="859"/>
      <c r="Q48" s="859"/>
    </row>
    <row r="49" spans="1:17" hidden="1" outlineLevel="1" x14ac:dyDescent="0.3">
      <c r="A49" s="581">
        <f>Распределение!B39</f>
        <v>0</v>
      </c>
      <c r="B49" s="581">
        <f>Распределение!L39</f>
        <v>0</v>
      </c>
      <c r="C49" s="582" t="str">
        <f>'Состав ВТК'!$H35</f>
        <v>-</v>
      </c>
      <c r="D49" s="582" t="str">
        <f>'Состав ВТК'!$I35</f>
        <v>-</v>
      </c>
      <c r="E49" s="582">
        <f>Распределение!M39</f>
        <v>0</v>
      </c>
      <c r="F49" s="582">
        <f>Выплаты!J40</f>
        <v>0</v>
      </c>
      <c r="G49" s="583"/>
      <c r="H49" s="582">
        <f t="shared" si="9"/>
        <v>0</v>
      </c>
      <c r="I49" s="582">
        <f>Выплаты!O40</f>
        <v>0</v>
      </c>
      <c r="J49" s="583"/>
      <c r="K49" s="582">
        <f t="shared" si="10"/>
        <v>0</v>
      </c>
      <c r="L49" s="500">
        <f>Выплаты!T40</f>
        <v>0</v>
      </c>
      <c r="M49" s="592"/>
      <c r="N49" s="500">
        <f t="shared" si="11"/>
        <v>0</v>
      </c>
      <c r="O49" s="859"/>
      <c r="P49" s="859"/>
      <c r="Q49" s="859"/>
    </row>
    <row r="50" spans="1:17" hidden="1" outlineLevel="1" x14ac:dyDescent="0.3">
      <c r="A50" s="581">
        <f>Распределение!B40</f>
        <v>0</v>
      </c>
      <c r="B50" s="581">
        <f>Распределение!L40</f>
        <v>0</v>
      </c>
      <c r="C50" s="582" t="str">
        <f>'Состав ВТК'!$H36</f>
        <v>-</v>
      </c>
      <c r="D50" s="582" t="str">
        <f>'Состав ВТК'!$I36</f>
        <v>-</v>
      </c>
      <c r="E50" s="582">
        <f>Распределение!M40</f>
        <v>0</v>
      </c>
      <c r="F50" s="582">
        <f>Выплаты!J41</f>
        <v>0</v>
      </c>
      <c r="G50" s="583"/>
      <c r="H50" s="582">
        <f t="shared" si="9"/>
        <v>0</v>
      </c>
      <c r="I50" s="582">
        <f>Выплаты!O41</f>
        <v>0</v>
      </c>
      <c r="J50" s="583"/>
      <c r="K50" s="582">
        <f t="shared" si="10"/>
        <v>0</v>
      </c>
      <c r="L50" s="500">
        <f>Выплаты!T41</f>
        <v>0</v>
      </c>
      <c r="M50" s="592"/>
      <c r="N50" s="500">
        <f t="shared" si="11"/>
        <v>0</v>
      </c>
      <c r="O50" s="859"/>
      <c r="P50" s="859"/>
      <c r="Q50" s="859"/>
    </row>
    <row r="51" spans="1:17" hidden="1" outlineLevel="1" x14ac:dyDescent="0.3">
      <c r="A51" s="581">
        <f>Распределение!B41</f>
        <v>0</v>
      </c>
      <c r="B51" s="581">
        <f>Распределение!L41</f>
        <v>0</v>
      </c>
      <c r="C51" s="582" t="str">
        <f>'Состав ВТК'!$H37</f>
        <v>-</v>
      </c>
      <c r="D51" s="582" t="str">
        <f>'Состав ВТК'!$I37</f>
        <v>-</v>
      </c>
      <c r="E51" s="582">
        <f>Распределение!M41</f>
        <v>0</v>
      </c>
      <c r="F51" s="582">
        <f>Выплаты!J42</f>
        <v>0</v>
      </c>
      <c r="G51" s="583"/>
      <c r="H51" s="582">
        <f t="shared" si="9"/>
        <v>0</v>
      </c>
      <c r="I51" s="582">
        <f>Выплаты!O42</f>
        <v>0</v>
      </c>
      <c r="J51" s="583"/>
      <c r="K51" s="582">
        <f t="shared" si="10"/>
        <v>0</v>
      </c>
      <c r="L51" s="500">
        <f>Выплаты!T42</f>
        <v>0</v>
      </c>
      <c r="M51" s="592"/>
      <c r="N51" s="500">
        <f t="shared" si="11"/>
        <v>0</v>
      </c>
      <c r="O51" s="859"/>
      <c r="P51" s="859"/>
      <c r="Q51" s="859"/>
    </row>
    <row r="52" spans="1:17" hidden="1" outlineLevel="1" x14ac:dyDescent="0.3">
      <c r="A52" s="581">
        <f>Распределение!B42</f>
        <v>0</v>
      </c>
      <c r="B52" s="581">
        <f>Распределение!L42</f>
        <v>0</v>
      </c>
      <c r="C52" s="582" t="str">
        <f>'Состав ВТК'!$H38</f>
        <v>-</v>
      </c>
      <c r="D52" s="582" t="str">
        <f>'Состав ВТК'!$I38</f>
        <v>-</v>
      </c>
      <c r="E52" s="582">
        <f>Распределение!M42</f>
        <v>0</v>
      </c>
      <c r="F52" s="582">
        <f>Выплаты!J43</f>
        <v>0</v>
      </c>
      <c r="G52" s="583"/>
      <c r="H52" s="582">
        <f t="shared" si="9"/>
        <v>0</v>
      </c>
      <c r="I52" s="582">
        <f>Выплаты!O43</f>
        <v>0</v>
      </c>
      <c r="J52" s="583"/>
      <c r="K52" s="582">
        <f t="shared" si="10"/>
        <v>0</v>
      </c>
      <c r="L52" s="500">
        <f>Выплаты!T43</f>
        <v>0</v>
      </c>
      <c r="M52" s="592"/>
      <c r="N52" s="500">
        <f t="shared" si="11"/>
        <v>0</v>
      </c>
      <c r="O52" s="859"/>
      <c r="P52" s="859"/>
      <c r="Q52" s="859"/>
    </row>
    <row r="53" spans="1:17" hidden="1" outlineLevel="1" x14ac:dyDescent="0.3">
      <c r="A53" s="581">
        <f>Распределение!B43</f>
        <v>0</v>
      </c>
      <c r="B53" s="581">
        <f>Распределение!L43</f>
        <v>0</v>
      </c>
      <c r="C53" s="582" t="str">
        <f>'Состав ВТК'!$H39</f>
        <v>-</v>
      </c>
      <c r="D53" s="582" t="str">
        <f>'Состав ВТК'!$I39</f>
        <v>-</v>
      </c>
      <c r="E53" s="582">
        <f>Распределение!M43</f>
        <v>0</v>
      </c>
      <c r="F53" s="582">
        <f>Выплаты!J44</f>
        <v>0</v>
      </c>
      <c r="G53" s="583"/>
      <c r="H53" s="582">
        <f t="shared" si="9"/>
        <v>0</v>
      </c>
      <c r="I53" s="582">
        <f>Выплаты!O44</f>
        <v>0</v>
      </c>
      <c r="J53" s="583"/>
      <c r="K53" s="582">
        <f t="shared" si="10"/>
        <v>0</v>
      </c>
      <c r="L53" s="500">
        <f>Выплаты!T44</f>
        <v>0</v>
      </c>
      <c r="M53" s="592"/>
      <c r="N53" s="500">
        <f t="shared" si="11"/>
        <v>0</v>
      </c>
      <c r="O53" s="859"/>
      <c r="P53" s="859"/>
      <c r="Q53" s="859"/>
    </row>
    <row r="54" spans="1:17" hidden="1" outlineLevel="1" x14ac:dyDescent="0.3">
      <c r="A54" s="581">
        <f>Распределение!B44</f>
        <v>0</v>
      </c>
      <c r="B54" s="581">
        <f>Распределение!L44</f>
        <v>0</v>
      </c>
      <c r="C54" s="582" t="str">
        <f>'Состав ВТК'!$H40</f>
        <v>-</v>
      </c>
      <c r="D54" s="582" t="str">
        <f>'Состав ВТК'!$I40</f>
        <v>-</v>
      </c>
      <c r="E54" s="582">
        <f>Распределение!M44</f>
        <v>0</v>
      </c>
      <c r="F54" s="582">
        <f>Выплаты!J45</f>
        <v>0</v>
      </c>
      <c r="G54" s="583"/>
      <c r="H54" s="582">
        <f t="shared" si="9"/>
        <v>0</v>
      </c>
      <c r="I54" s="582">
        <f>Выплаты!O45</f>
        <v>0</v>
      </c>
      <c r="J54" s="583"/>
      <c r="K54" s="582">
        <f t="shared" si="10"/>
        <v>0</v>
      </c>
      <c r="L54" s="500">
        <f>Выплаты!T45</f>
        <v>0</v>
      </c>
      <c r="M54" s="592"/>
      <c r="N54" s="500">
        <f t="shared" si="11"/>
        <v>0</v>
      </c>
      <c r="O54" s="859"/>
      <c r="P54" s="859"/>
      <c r="Q54" s="859"/>
    </row>
    <row r="55" spans="1:17" hidden="1" outlineLevel="1" x14ac:dyDescent="0.3">
      <c r="A55" s="581">
        <f>Распределение!B45</f>
        <v>0</v>
      </c>
      <c r="B55" s="581">
        <f>Распределение!L45</f>
        <v>0</v>
      </c>
      <c r="C55" s="582" t="str">
        <f>'Состав ВТК'!$H41</f>
        <v>-</v>
      </c>
      <c r="D55" s="582" t="str">
        <f>'Состав ВТК'!$I41</f>
        <v>-</v>
      </c>
      <c r="E55" s="582">
        <f>Распределение!M45</f>
        <v>0</v>
      </c>
      <c r="F55" s="582">
        <f>Выплаты!J46</f>
        <v>0</v>
      </c>
      <c r="G55" s="583"/>
      <c r="H55" s="582">
        <f t="shared" si="9"/>
        <v>0</v>
      </c>
      <c r="I55" s="582">
        <f>Выплаты!O46</f>
        <v>0</v>
      </c>
      <c r="J55" s="583"/>
      <c r="K55" s="582">
        <f t="shared" si="10"/>
        <v>0</v>
      </c>
      <c r="L55" s="500">
        <f>Выплаты!T46</f>
        <v>0</v>
      </c>
      <c r="M55" s="592"/>
      <c r="N55" s="500">
        <f t="shared" si="11"/>
        <v>0</v>
      </c>
      <c r="O55" s="859"/>
      <c r="P55" s="859"/>
      <c r="Q55" s="859"/>
    </row>
    <row r="56" spans="1:17" hidden="1" outlineLevel="1" x14ac:dyDescent="0.3">
      <c r="A56" s="581">
        <f>Распределение!B46</f>
        <v>0</v>
      </c>
      <c r="B56" s="581">
        <f>Распределение!L46</f>
        <v>0</v>
      </c>
      <c r="C56" s="582" t="str">
        <f>'Состав ВТК'!$H42</f>
        <v>-</v>
      </c>
      <c r="D56" s="582" t="str">
        <f>'Состав ВТК'!$I42</f>
        <v>-</v>
      </c>
      <c r="E56" s="582">
        <f>Распределение!M46</f>
        <v>0</v>
      </c>
      <c r="F56" s="582">
        <f>Выплаты!J47</f>
        <v>0</v>
      </c>
      <c r="G56" s="583"/>
      <c r="H56" s="582">
        <f t="shared" si="9"/>
        <v>0</v>
      </c>
      <c r="I56" s="582">
        <f>Выплаты!O47</f>
        <v>0</v>
      </c>
      <c r="J56" s="583"/>
      <c r="K56" s="582">
        <f t="shared" si="10"/>
        <v>0</v>
      </c>
      <c r="L56" s="500">
        <f>Выплаты!T47</f>
        <v>0</v>
      </c>
      <c r="M56" s="592"/>
      <c r="N56" s="500">
        <f t="shared" si="11"/>
        <v>0</v>
      </c>
      <c r="O56" s="859"/>
      <c r="P56" s="859"/>
      <c r="Q56" s="859"/>
    </row>
    <row r="57" spans="1:17" hidden="1" outlineLevel="1" x14ac:dyDescent="0.3">
      <c r="A57" s="581">
        <f>Распределение!B47</f>
        <v>0</v>
      </c>
      <c r="B57" s="581">
        <f>Распределение!L47</f>
        <v>0</v>
      </c>
      <c r="C57" s="582" t="str">
        <f>'Состав ВТК'!$H43</f>
        <v>-</v>
      </c>
      <c r="D57" s="582" t="str">
        <f>'Состав ВТК'!$I43</f>
        <v>-</v>
      </c>
      <c r="E57" s="582">
        <f>Распределение!M47</f>
        <v>0</v>
      </c>
      <c r="F57" s="582">
        <f>Выплаты!J48</f>
        <v>0</v>
      </c>
      <c r="G57" s="583"/>
      <c r="H57" s="582">
        <f t="shared" si="9"/>
        <v>0</v>
      </c>
      <c r="I57" s="582">
        <f>Выплаты!O48</f>
        <v>0</v>
      </c>
      <c r="J57" s="583"/>
      <c r="K57" s="582">
        <f t="shared" si="10"/>
        <v>0</v>
      </c>
      <c r="L57" s="500">
        <f>Выплаты!T48</f>
        <v>0</v>
      </c>
      <c r="M57" s="592"/>
      <c r="N57" s="500">
        <f t="shared" si="11"/>
        <v>0</v>
      </c>
      <c r="O57" s="859"/>
      <c r="P57" s="859"/>
      <c r="Q57" s="859"/>
    </row>
    <row r="58" spans="1:17" hidden="1" outlineLevel="1" x14ac:dyDescent="0.3">
      <c r="A58" s="581">
        <f>Распределение!B48</f>
        <v>0</v>
      </c>
      <c r="B58" s="581">
        <f>Распределение!L48</f>
        <v>0</v>
      </c>
      <c r="C58" s="582" t="str">
        <f>'Состав ВТК'!$H44</f>
        <v>-</v>
      </c>
      <c r="D58" s="582" t="str">
        <f>'Состав ВТК'!$I44</f>
        <v>-</v>
      </c>
      <c r="E58" s="582">
        <f>Распределение!M48</f>
        <v>0</v>
      </c>
      <c r="F58" s="582">
        <f>Выплаты!J49</f>
        <v>0</v>
      </c>
      <c r="G58" s="583"/>
      <c r="H58" s="582">
        <f t="shared" si="9"/>
        <v>0</v>
      </c>
      <c r="I58" s="582">
        <f>Выплаты!O49</f>
        <v>0</v>
      </c>
      <c r="J58" s="583"/>
      <c r="K58" s="582">
        <f t="shared" si="10"/>
        <v>0</v>
      </c>
      <c r="L58" s="500">
        <f>Выплаты!T49</f>
        <v>0</v>
      </c>
      <c r="M58" s="592"/>
      <c r="N58" s="500">
        <f t="shared" si="11"/>
        <v>0</v>
      </c>
      <c r="O58" s="859"/>
      <c r="P58" s="859"/>
      <c r="Q58" s="859"/>
    </row>
    <row r="59" spans="1:17" hidden="1" outlineLevel="1" x14ac:dyDescent="0.3">
      <c r="A59" s="581">
        <f>Распределение!B49</f>
        <v>0</v>
      </c>
      <c r="B59" s="581">
        <f>Распределение!L49</f>
        <v>0</v>
      </c>
      <c r="C59" s="582" t="str">
        <f>'Состав ВТК'!$H45</f>
        <v>-</v>
      </c>
      <c r="D59" s="582" t="str">
        <f>'Состав ВТК'!$I45</f>
        <v>-</v>
      </c>
      <c r="E59" s="582">
        <f>Распределение!M49</f>
        <v>0</v>
      </c>
      <c r="F59" s="582">
        <f>Выплаты!J50</f>
        <v>0</v>
      </c>
      <c r="G59" s="583"/>
      <c r="H59" s="582">
        <f t="shared" si="9"/>
        <v>0</v>
      </c>
      <c r="I59" s="582">
        <f>Выплаты!O50</f>
        <v>0</v>
      </c>
      <c r="J59" s="583"/>
      <c r="K59" s="582">
        <f t="shared" si="10"/>
        <v>0</v>
      </c>
      <c r="L59" s="500">
        <f>Выплаты!T50</f>
        <v>0</v>
      </c>
      <c r="M59" s="592"/>
      <c r="N59" s="500">
        <f t="shared" si="11"/>
        <v>0</v>
      </c>
      <c r="O59" s="859"/>
      <c r="P59" s="859"/>
      <c r="Q59" s="859"/>
    </row>
    <row r="60" spans="1:17" hidden="1" outlineLevel="1" x14ac:dyDescent="0.3">
      <c r="A60" s="581">
        <f>Распределение!B50</f>
        <v>0</v>
      </c>
      <c r="B60" s="581">
        <f>Распределение!L50</f>
        <v>0</v>
      </c>
      <c r="C60" s="582" t="str">
        <f>'Состав ВТК'!$H46</f>
        <v>-</v>
      </c>
      <c r="D60" s="582" t="str">
        <f>'Состав ВТК'!$I46</f>
        <v>-</v>
      </c>
      <c r="E60" s="582">
        <f>Распределение!M50</f>
        <v>0</v>
      </c>
      <c r="F60" s="582">
        <f>Выплаты!J51</f>
        <v>0</v>
      </c>
      <c r="G60" s="583"/>
      <c r="H60" s="582">
        <f t="shared" si="9"/>
        <v>0</v>
      </c>
      <c r="I60" s="582">
        <f>Выплаты!O51</f>
        <v>0</v>
      </c>
      <c r="J60" s="583"/>
      <c r="K60" s="582">
        <f t="shared" si="10"/>
        <v>0</v>
      </c>
      <c r="L60" s="500">
        <f>Выплаты!T51</f>
        <v>0</v>
      </c>
      <c r="M60" s="592"/>
      <c r="N60" s="500">
        <f t="shared" si="11"/>
        <v>0</v>
      </c>
      <c r="O60" s="859"/>
      <c r="P60" s="859"/>
      <c r="Q60" s="859"/>
    </row>
    <row r="61" spans="1:17" hidden="1" outlineLevel="1" x14ac:dyDescent="0.3">
      <c r="A61" s="581">
        <f>Распределение!B51</f>
        <v>0</v>
      </c>
      <c r="B61" s="581">
        <f>Распределение!L51</f>
        <v>0</v>
      </c>
      <c r="C61" s="582" t="str">
        <f>'Состав ВТК'!$H47</f>
        <v>-</v>
      </c>
      <c r="D61" s="582" t="str">
        <f>'Состав ВТК'!$I47</f>
        <v>-</v>
      </c>
      <c r="E61" s="582">
        <f>Распределение!M51</f>
        <v>0</v>
      </c>
      <c r="F61" s="582">
        <f>Выплаты!J52</f>
        <v>0</v>
      </c>
      <c r="G61" s="583"/>
      <c r="H61" s="582">
        <f t="shared" si="9"/>
        <v>0</v>
      </c>
      <c r="I61" s="582">
        <f>Выплаты!O52</f>
        <v>0</v>
      </c>
      <c r="J61" s="583"/>
      <c r="K61" s="582">
        <f t="shared" si="10"/>
        <v>0</v>
      </c>
      <c r="L61" s="500">
        <f>Выплаты!T52</f>
        <v>0</v>
      </c>
      <c r="M61" s="592"/>
      <c r="N61" s="500">
        <f t="shared" si="11"/>
        <v>0</v>
      </c>
      <c r="O61" s="859"/>
      <c r="P61" s="859"/>
      <c r="Q61" s="859"/>
    </row>
    <row r="62" spans="1:17" hidden="1" outlineLevel="1" x14ac:dyDescent="0.3">
      <c r="A62" s="581">
        <f>Распределение!B52</f>
        <v>0</v>
      </c>
      <c r="B62" s="581">
        <f>Распределение!L52</f>
        <v>0</v>
      </c>
      <c r="C62" s="582" t="str">
        <f>'Состав ВТК'!$H48</f>
        <v>-</v>
      </c>
      <c r="D62" s="582" t="str">
        <f>'Состав ВТК'!$I48</f>
        <v>-</v>
      </c>
      <c r="E62" s="582">
        <f>Распределение!M52</f>
        <v>0</v>
      </c>
      <c r="F62" s="582">
        <f>Выплаты!J53</f>
        <v>0</v>
      </c>
      <c r="G62" s="583"/>
      <c r="H62" s="582">
        <f t="shared" si="9"/>
        <v>0</v>
      </c>
      <c r="I62" s="582">
        <f>Выплаты!O53</f>
        <v>0</v>
      </c>
      <c r="J62" s="583"/>
      <c r="K62" s="582">
        <f t="shared" si="10"/>
        <v>0</v>
      </c>
      <c r="L62" s="500">
        <f>Выплаты!T53</f>
        <v>0</v>
      </c>
      <c r="M62" s="592"/>
      <c r="N62" s="500">
        <f t="shared" si="11"/>
        <v>0</v>
      </c>
      <c r="O62" s="859"/>
      <c r="P62" s="859"/>
      <c r="Q62" s="859"/>
    </row>
    <row r="63" spans="1:17" hidden="1" outlineLevel="1" x14ac:dyDescent="0.3">
      <c r="A63" s="581">
        <f>Распределение!B53</f>
        <v>0</v>
      </c>
      <c r="B63" s="581">
        <f>Распределение!L53</f>
        <v>0</v>
      </c>
      <c r="C63" s="582" t="str">
        <f>'Состав ВТК'!$H49</f>
        <v>-</v>
      </c>
      <c r="D63" s="582" t="str">
        <f>'Состав ВТК'!$I49</f>
        <v>-</v>
      </c>
      <c r="E63" s="582">
        <f>Распределение!M53</f>
        <v>0</v>
      </c>
      <c r="F63" s="582">
        <f>Выплаты!J54</f>
        <v>0</v>
      </c>
      <c r="G63" s="583"/>
      <c r="H63" s="582">
        <f t="shared" si="9"/>
        <v>0</v>
      </c>
      <c r="I63" s="582">
        <f>Выплаты!O54</f>
        <v>0</v>
      </c>
      <c r="J63" s="583"/>
      <c r="K63" s="582">
        <f t="shared" si="10"/>
        <v>0</v>
      </c>
      <c r="L63" s="500">
        <f>Выплаты!T54</f>
        <v>0</v>
      </c>
      <c r="M63" s="592"/>
      <c r="N63" s="500">
        <f t="shared" si="11"/>
        <v>0</v>
      </c>
      <c r="O63" s="859"/>
      <c r="P63" s="859"/>
      <c r="Q63" s="859"/>
    </row>
    <row r="64" spans="1:17" hidden="1" outlineLevel="1" x14ac:dyDescent="0.3">
      <c r="A64" s="581">
        <f>Распределение!B54</f>
        <v>0</v>
      </c>
      <c r="B64" s="581">
        <f>Распределение!L54</f>
        <v>0</v>
      </c>
      <c r="C64" s="582" t="str">
        <f>'Состав ВТК'!$H50</f>
        <v>-</v>
      </c>
      <c r="D64" s="582" t="str">
        <f>'Состав ВТК'!$I50</f>
        <v>-</v>
      </c>
      <c r="E64" s="582">
        <f>Распределение!M54</f>
        <v>0</v>
      </c>
      <c r="F64" s="582">
        <f>Выплаты!J55</f>
        <v>0</v>
      </c>
      <c r="G64" s="583"/>
      <c r="H64" s="582">
        <f t="shared" si="9"/>
        <v>0</v>
      </c>
      <c r="I64" s="582">
        <f>Выплаты!O55</f>
        <v>0</v>
      </c>
      <c r="J64" s="583"/>
      <c r="K64" s="582">
        <f t="shared" si="10"/>
        <v>0</v>
      </c>
      <c r="L64" s="500">
        <f>Выплаты!T55</f>
        <v>0</v>
      </c>
      <c r="M64" s="592"/>
      <c r="N64" s="500">
        <f t="shared" si="11"/>
        <v>0</v>
      </c>
      <c r="O64" s="859"/>
      <c r="P64" s="859"/>
      <c r="Q64" s="859"/>
    </row>
    <row r="65" spans="1:17" hidden="1" outlineLevel="1" x14ac:dyDescent="0.3">
      <c r="A65" s="581">
        <f>Распределение!B55</f>
        <v>0</v>
      </c>
      <c r="B65" s="581">
        <f>Распределение!L55</f>
        <v>0</v>
      </c>
      <c r="C65" s="582" t="str">
        <f>'Состав ВТК'!$H51</f>
        <v>-</v>
      </c>
      <c r="D65" s="582" t="str">
        <f>'Состав ВТК'!$I51</f>
        <v>-</v>
      </c>
      <c r="E65" s="582">
        <f>Распределение!M55</f>
        <v>0</v>
      </c>
      <c r="F65" s="582">
        <f>Выплаты!J56</f>
        <v>0</v>
      </c>
      <c r="G65" s="583"/>
      <c r="H65" s="582">
        <f t="shared" si="9"/>
        <v>0</v>
      </c>
      <c r="I65" s="582">
        <f>Выплаты!O56</f>
        <v>0</v>
      </c>
      <c r="J65" s="583"/>
      <c r="K65" s="582">
        <f t="shared" si="10"/>
        <v>0</v>
      </c>
      <c r="L65" s="500">
        <f>Выплаты!T56</f>
        <v>0</v>
      </c>
      <c r="M65" s="592"/>
      <c r="N65" s="500">
        <f t="shared" si="11"/>
        <v>0</v>
      </c>
      <c r="O65" s="859"/>
      <c r="P65" s="859"/>
      <c r="Q65" s="859"/>
    </row>
    <row r="66" spans="1:17" hidden="1" outlineLevel="1" x14ac:dyDescent="0.3">
      <c r="A66" s="581">
        <f>Распределение!B56</f>
        <v>0</v>
      </c>
      <c r="B66" s="581">
        <f>Распределение!L56</f>
        <v>0</v>
      </c>
      <c r="C66" s="582" t="str">
        <f>'Состав ВТК'!$H52</f>
        <v>-</v>
      </c>
      <c r="D66" s="582" t="str">
        <f>'Состав ВТК'!$I52</f>
        <v>-</v>
      </c>
      <c r="E66" s="582">
        <f>Распределение!M56</f>
        <v>0</v>
      </c>
      <c r="F66" s="582">
        <f>Выплаты!J57</f>
        <v>0</v>
      </c>
      <c r="G66" s="583"/>
      <c r="H66" s="582">
        <f t="shared" si="9"/>
        <v>0</v>
      </c>
      <c r="I66" s="582">
        <f>Выплаты!O57</f>
        <v>0</v>
      </c>
      <c r="J66" s="583"/>
      <c r="K66" s="582">
        <f t="shared" si="10"/>
        <v>0</v>
      </c>
      <c r="L66" s="500">
        <f>Выплаты!T57</f>
        <v>0</v>
      </c>
      <c r="M66" s="592"/>
      <c r="N66" s="500">
        <f t="shared" si="11"/>
        <v>0</v>
      </c>
      <c r="O66" s="859"/>
      <c r="P66" s="859"/>
      <c r="Q66" s="859"/>
    </row>
    <row r="67" spans="1:17" hidden="1" outlineLevel="1" x14ac:dyDescent="0.3">
      <c r="A67" s="581">
        <f>Распределение!B57</f>
        <v>0</v>
      </c>
      <c r="B67" s="581">
        <f>Распределение!L57</f>
        <v>0</v>
      </c>
      <c r="C67" s="582" t="str">
        <f>'Состав ВТК'!$H53</f>
        <v>-</v>
      </c>
      <c r="D67" s="582" t="str">
        <f>'Состав ВТК'!$I53</f>
        <v>-</v>
      </c>
      <c r="E67" s="582">
        <f>Распределение!M57</f>
        <v>0</v>
      </c>
      <c r="F67" s="582">
        <f>Выплаты!J58</f>
        <v>0</v>
      </c>
      <c r="G67" s="583"/>
      <c r="H67" s="582">
        <f t="shared" si="9"/>
        <v>0</v>
      </c>
      <c r="I67" s="582">
        <f>Выплаты!O58</f>
        <v>0</v>
      </c>
      <c r="J67" s="583"/>
      <c r="K67" s="582">
        <f t="shared" si="10"/>
        <v>0</v>
      </c>
      <c r="L67" s="500">
        <f>Выплаты!T58</f>
        <v>0</v>
      </c>
      <c r="M67" s="592"/>
      <c r="N67" s="500">
        <f t="shared" si="11"/>
        <v>0</v>
      </c>
      <c r="O67" s="859"/>
      <c r="P67" s="859"/>
      <c r="Q67" s="859"/>
    </row>
    <row r="68" spans="1:17" hidden="1" outlineLevel="1" x14ac:dyDescent="0.3">
      <c r="A68" s="581">
        <f>Распределение!B58</f>
        <v>0</v>
      </c>
      <c r="B68" s="581">
        <f>Распределение!L58</f>
        <v>0</v>
      </c>
      <c r="C68" s="582" t="str">
        <f>'Состав ВТК'!$H54</f>
        <v>-</v>
      </c>
      <c r="D68" s="582" t="str">
        <f>'Состав ВТК'!$I54</f>
        <v>-</v>
      </c>
      <c r="E68" s="582">
        <f>Распределение!M58</f>
        <v>0</v>
      </c>
      <c r="F68" s="582">
        <f>Выплаты!J59</f>
        <v>0</v>
      </c>
      <c r="G68" s="583"/>
      <c r="H68" s="582">
        <f t="shared" si="9"/>
        <v>0</v>
      </c>
      <c r="I68" s="582">
        <f>Выплаты!O59</f>
        <v>0</v>
      </c>
      <c r="J68" s="583"/>
      <c r="K68" s="582">
        <f t="shared" si="10"/>
        <v>0</v>
      </c>
      <c r="L68" s="500">
        <f>Выплаты!T59</f>
        <v>0</v>
      </c>
      <c r="M68" s="592"/>
      <c r="N68" s="500">
        <f t="shared" si="11"/>
        <v>0</v>
      </c>
      <c r="O68" s="859"/>
      <c r="P68" s="859"/>
      <c r="Q68" s="859"/>
    </row>
    <row r="69" spans="1:17" hidden="1" outlineLevel="1" x14ac:dyDescent="0.3">
      <c r="A69" s="581">
        <f>Распределение!B59</f>
        <v>0</v>
      </c>
      <c r="B69" s="581">
        <f>Распределение!L59</f>
        <v>0</v>
      </c>
      <c r="C69" s="582" t="str">
        <f>'Состав ВТК'!$H55</f>
        <v>-</v>
      </c>
      <c r="D69" s="582" t="str">
        <f>'Состав ВТК'!$I55</f>
        <v>-</v>
      </c>
      <c r="E69" s="582">
        <f>Распределение!M59</f>
        <v>0</v>
      </c>
      <c r="F69" s="582">
        <f>Выплаты!J60</f>
        <v>0</v>
      </c>
      <c r="G69" s="583"/>
      <c r="H69" s="582">
        <f t="shared" si="9"/>
        <v>0</v>
      </c>
      <c r="I69" s="582">
        <f>Выплаты!O60</f>
        <v>0</v>
      </c>
      <c r="J69" s="583"/>
      <c r="K69" s="582">
        <f t="shared" si="10"/>
        <v>0</v>
      </c>
      <c r="L69" s="500">
        <f>Выплаты!T60</f>
        <v>0</v>
      </c>
      <c r="M69" s="592"/>
      <c r="N69" s="500">
        <f t="shared" si="11"/>
        <v>0</v>
      </c>
      <c r="O69" s="859"/>
      <c r="P69" s="859"/>
      <c r="Q69" s="859"/>
    </row>
    <row r="70" spans="1:17" hidden="1" outlineLevel="1" x14ac:dyDescent="0.3">
      <c r="A70" s="581">
        <f>Распределение!B60</f>
        <v>0</v>
      </c>
      <c r="B70" s="581">
        <f>Распределение!L60</f>
        <v>0</v>
      </c>
      <c r="C70" s="582" t="str">
        <f>'Состав ВТК'!$H56</f>
        <v>-</v>
      </c>
      <c r="D70" s="582" t="str">
        <f>'Состав ВТК'!$I56</f>
        <v>-</v>
      </c>
      <c r="E70" s="582">
        <f>Распределение!M60</f>
        <v>0</v>
      </c>
      <c r="F70" s="582">
        <f>Выплаты!J61</f>
        <v>0</v>
      </c>
      <c r="G70" s="583"/>
      <c r="H70" s="582">
        <f t="shared" si="9"/>
        <v>0</v>
      </c>
      <c r="I70" s="582">
        <f>Выплаты!O61</f>
        <v>0</v>
      </c>
      <c r="J70" s="583"/>
      <c r="K70" s="582">
        <f t="shared" si="10"/>
        <v>0</v>
      </c>
      <c r="L70" s="500">
        <f>Выплаты!T61</f>
        <v>0</v>
      </c>
      <c r="M70" s="592"/>
      <c r="N70" s="500">
        <f t="shared" si="11"/>
        <v>0</v>
      </c>
      <c r="O70" s="859"/>
      <c r="P70" s="859"/>
      <c r="Q70" s="859"/>
    </row>
    <row r="71" spans="1:17" hidden="1" outlineLevel="1" x14ac:dyDescent="0.3">
      <c r="A71" s="581">
        <f>Распределение!B61</f>
        <v>0</v>
      </c>
      <c r="B71" s="581">
        <f>Распределение!L61</f>
        <v>0</v>
      </c>
      <c r="C71" s="582" t="str">
        <f>'Состав ВТК'!$H57</f>
        <v>-</v>
      </c>
      <c r="D71" s="582" t="str">
        <f>'Состав ВТК'!$I57</f>
        <v>-</v>
      </c>
      <c r="E71" s="582">
        <f>Распределение!M61</f>
        <v>0</v>
      </c>
      <c r="F71" s="582">
        <f>Выплаты!J62</f>
        <v>0</v>
      </c>
      <c r="G71" s="583"/>
      <c r="H71" s="582">
        <f t="shared" si="9"/>
        <v>0</v>
      </c>
      <c r="I71" s="582">
        <f>Выплаты!O62</f>
        <v>0</v>
      </c>
      <c r="J71" s="583"/>
      <c r="K71" s="582">
        <f t="shared" si="10"/>
        <v>0</v>
      </c>
      <c r="L71" s="500">
        <f>Выплаты!T62</f>
        <v>0</v>
      </c>
      <c r="M71" s="592"/>
      <c r="N71" s="500">
        <f t="shared" si="11"/>
        <v>0</v>
      </c>
      <c r="O71" s="859"/>
      <c r="P71" s="859"/>
      <c r="Q71" s="859"/>
    </row>
    <row r="72" spans="1:17" hidden="1" outlineLevel="1" x14ac:dyDescent="0.3">
      <c r="A72" s="581">
        <f>Распределение!B62</f>
        <v>0</v>
      </c>
      <c r="B72" s="581">
        <f>Распределение!L62</f>
        <v>0</v>
      </c>
      <c r="C72" s="582" t="str">
        <f>'Состав ВТК'!$H58</f>
        <v>-</v>
      </c>
      <c r="D72" s="582" t="str">
        <f>'Состав ВТК'!$I58</f>
        <v>-</v>
      </c>
      <c r="E72" s="582">
        <f>Распределение!M62</f>
        <v>0</v>
      </c>
      <c r="F72" s="582">
        <f>Выплаты!J63</f>
        <v>0</v>
      </c>
      <c r="G72" s="583"/>
      <c r="H72" s="582">
        <f t="shared" si="9"/>
        <v>0</v>
      </c>
      <c r="I72" s="582">
        <f>Выплаты!O63</f>
        <v>0</v>
      </c>
      <c r="J72" s="583"/>
      <c r="K72" s="582">
        <f t="shared" si="10"/>
        <v>0</v>
      </c>
      <c r="L72" s="500">
        <f>Выплаты!T63</f>
        <v>0</v>
      </c>
      <c r="M72" s="592"/>
      <c r="N72" s="500">
        <f t="shared" si="11"/>
        <v>0</v>
      </c>
      <c r="O72" s="859"/>
      <c r="P72" s="859"/>
      <c r="Q72" s="859"/>
    </row>
    <row r="73" spans="1:17" hidden="1" outlineLevel="1" x14ac:dyDescent="0.3">
      <c r="A73" s="581">
        <f>Распределение!B63</f>
        <v>0</v>
      </c>
      <c r="B73" s="581">
        <f>Распределение!L63</f>
        <v>0</v>
      </c>
      <c r="C73" s="582" t="str">
        <f>'Состав ВТК'!$H59</f>
        <v>-</v>
      </c>
      <c r="D73" s="582" t="str">
        <f>'Состав ВТК'!$I59</f>
        <v>-</v>
      </c>
      <c r="E73" s="582">
        <f>Распределение!M63</f>
        <v>0</v>
      </c>
      <c r="F73" s="582">
        <f>Выплаты!J64</f>
        <v>0</v>
      </c>
      <c r="G73" s="583"/>
      <c r="H73" s="582">
        <f t="shared" si="9"/>
        <v>0</v>
      </c>
      <c r="I73" s="582">
        <f>Выплаты!O64</f>
        <v>0</v>
      </c>
      <c r="J73" s="583"/>
      <c r="K73" s="582">
        <f t="shared" si="10"/>
        <v>0</v>
      </c>
      <c r="L73" s="500">
        <f>Выплаты!T64</f>
        <v>0</v>
      </c>
      <c r="M73" s="592"/>
      <c r="N73" s="500">
        <f t="shared" si="11"/>
        <v>0</v>
      </c>
      <c r="O73" s="859"/>
      <c r="P73" s="859"/>
      <c r="Q73" s="859"/>
    </row>
    <row r="74" spans="1:17" hidden="1" outlineLevel="1" x14ac:dyDescent="0.3">
      <c r="A74" s="581">
        <f>Распределение!B64</f>
        <v>0</v>
      </c>
      <c r="B74" s="581">
        <f>Распределение!L64</f>
        <v>0</v>
      </c>
      <c r="C74" s="582" t="str">
        <f>'Состав ВТК'!$H60</f>
        <v>-</v>
      </c>
      <c r="D74" s="582" t="str">
        <f>'Состав ВТК'!$I60</f>
        <v>-</v>
      </c>
      <c r="E74" s="582">
        <f>Распределение!M64</f>
        <v>0</v>
      </c>
      <c r="F74" s="582">
        <f>Выплаты!J65</f>
        <v>0</v>
      </c>
      <c r="G74" s="583"/>
      <c r="H74" s="582">
        <f t="shared" si="9"/>
        <v>0</v>
      </c>
      <c r="I74" s="582">
        <f>Выплаты!O65</f>
        <v>0</v>
      </c>
      <c r="J74" s="583"/>
      <c r="K74" s="582">
        <f t="shared" si="10"/>
        <v>0</v>
      </c>
      <c r="L74" s="500">
        <f>Выплаты!T65</f>
        <v>0</v>
      </c>
      <c r="M74" s="592"/>
      <c r="N74" s="500">
        <f t="shared" si="11"/>
        <v>0</v>
      </c>
      <c r="O74" s="859"/>
      <c r="P74" s="859"/>
      <c r="Q74" s="859"/>
    </row>
    <row r="75" spans="1:17" hidden="1" outlineLevel="1" x14ac:dyDescent="0.3">
      <c r="A75" s="581">
        <f>Распределение!B65</f>
        <v>0</v>
      </c>
      <c r="B75" s="581">
        <f>Распределение!L65</f>
        <v>0</v>
      </c>
      <c r="C75" s="582" t="str">
        <f>'Состав ВТК'!$H61</f>
        <v>-</v>
      </c>
      <c r="D75" s="582" t="str">
        <f>'Состав ВТК'!$I61</f>
        <v>-</v>
      </c>
      <c r="E75" s="582">
        <f>Распределение!M65</f>
        <v>0</v>
      </c>
      <c r="F75" s="582">
        <f>Выплаты!J66</f>
        <v>0</v>
      </c>
      <c r="G75" s="583"/>
      <c r="H75" s="582">
        <f t="shared" si="9"/>
        <v>0</v>
      </c>
      <c r="I75" s="582">
        <f>Выплаты!O66</f>
        <v>0</v>
      </c>
      <c r="J75" s="583"/>
      <c r="K75" s="582">
        <f t="shared" si="10"/>
        <v>0</v>
      </c>
      <c r="L75" s="500">
        <f>Выплаты!T66</f>
        <v>0</v>
      </c>
      <c r="M75" s="592"/>
      <c r="N75" s="500">
        <f t="shared" si="11"/>
        <v>0</v>
      </c>
      <c r="O75" s="859"/>
      <c r="P75" s="859"/>
      <c r="Q75" s="859"/>
    </row>
    <row r="76" spans="1:17" hidden="1" outlineLevel="1" x14ac:dyDescent="0.3">
      <c r="A76" s="581">
        <f>Распределение!B66</f>
        <v>0</v>
      </c>
      <c r="B76" s="581">
        <f>Распределение!L66</f>
        <v>0</v>
      </c>
      <c r="C76" s="582" t="str">
        <f>'Состав ВТК'!$H62</f>
        <v>-</v>
      </c>
      <c r="D76" s="582" t="str">
        <f>'Состав ВТК'!$I62</f>
        <v>-</v>
      </c>
      <c r="E76" s="582">
        <f>Распределение!M66</f>
        <v>0</v>
      </c>
      <c r="F76" s="582">
        <f>Выплаты!J67</f>
        <v>0</v>
      </c>
      <c r="G76" s="583"/>
      <c r="H76" s="582">
        <f t="shared" si="9"/>
        <v>0</v>
      </c>
      <c r="I76" s="582">
        <f>Выплаты!O67</f>
        <v>0</v>
      </c>
      <c r="J76" s="583"/>
      <c r="K76" s="582">
        <f t="shared" si="10"/>
        <v>0</v>
      </c>
      <c r="L76" s="500">
        <f>Выплаты!T67</f>
        <v>0</v>
      </c>
      <c r="M76" s="592"/>
      <c r="N76" s="500">
        <f t="shared" si="11"/>
        <v>0</v>
      </c>
      <c r="O76" s="859"/>
      <c r="P76" s="859"/>
      <c r="Q76" s="859"/>
    </row>
    <row r="77" spans="1:17" hidden="1" outlineLevel="1" x14ac:dyDescent="0.3">
      <c r="A77" s="581">
        <f>Распределение!B67</f>
        <v>0</v>
      </c>
      <c r="B77" s="581">
        <f>Распределение!L67</f>
        <v>0</v>
      </c>
      <c r="C77" s="582" t="str">
        <f>'Состав ВТК'!$H63</f>
        <v>-</v>
      </c>
      <c r="D77" s="582" t="str">
        <f>'Состав ВТК'!$I63</f>
        <v>-</v>
      </c>
      <c r="E77" s="582">
        <f>Распределение!M67</f>
        <v>0</v>
      </c>
      <c r="F77" s="582">
        <f>Выплаты!J68</f>
        <v>0</v>
      </c>
      <c r="G77" s="583"/>
      <c r="H77" s="582">
        <f t="shared" si="9"/>
        <v>0</v>
      </c>
      <c r="I77" s="582">
        <f>Выплаты!O68</f>
        <v>0</v>
      </c>
      <c r="J77" s="583"/>
      <c r="K77" s="582">
        <f t="shared" si="10"/>
        <v>0</v>
      </c>
      <c r="L77" s="500">
        <f>Выплаты!T68</f>
        <v>0</v>
      </c>
      <c r="M77" s="592"/>
      <c r="N77" s="500">
        <f t="shared" si="11"/>
        <v>0</v>
      </c>
      <c r="O77" s="859"/>
      <c r="P77" s="859"/>
      <c r="Q77" s="859"/>
    </row>
    <row r="78" spans="1:17" hidden="1" outlineLevel="1" x14ac:dyDescent="0.3">
      <c r="A78" s="581">
        <f>Распределение!B68</f>
        <v>0</v>
      </c>
      <c r="B78" s="581">
        <f>Распределение!L68</f>
        <v>0</v>
      </c>
      <c r="C78" s="582" t="str">
        <f>'Состав ВТК'!$H64</f>
        <v>-</v>
      </c>
      <c r="D78" s="582" t="str">
        <f>'Состав ВТК'!$I64</f>
        <v>-</v>
      </c>
      <c r="E78" s="582">
        <f>Распределение!M68</f>
        <v>0</v>
      </c>
      <c r="F78" s="582">
        <f>Выплаты!J69</f>
        <v>0</v>
      </c>
      <c r="G78" s="583"/>
      <c r="H78" s="582">
        <f t="shared" si="9"/>
        <v>0</v>
      </c>
      <c r="I78" s="582">
        <f>Выплаты!O69</f>
        <v>0</v>
      </c>
      <c r="J78" s="583"/>
      <c r="K78" s="582">
        <f t="shared" si="10"/>
        <v>0</v>
      </c>
      <c r="L78" s="500">
        <f>Выплаты!T69</f>
        <v>0</v>
      </c>
      <c r="M78" s="592"/>
      <c r="N78" s="500">
        <f t="shared" si="11"/>
        <v>0</v>
      </c>
      <c r="O78" s="859"/>
      <c r="P78" s="859"/>
      <c r="Q78" s="859"/>
    </row>
    <row r="79" spans="1:17" hidden="1" outlineLevel="1" x14ac:dyDescent="0.3">
      <c r="A79" s="581">
        <f>Распределение!B69</f>
        <v>0</v>
      </c>
      <c r="B79" s="581">
        <f>Распределение!L69</f>
        <v>0</v>
      </c>
      <c r="C79" s="582" t="str">
        <f>'Состав ВТК'!$H65</f>
        <v>-</v>
      </c>
      <c r="D79" s="582" t="str">
        <f>'Состав ВТК'!$I65</f>
        <v>-</v>
      </c>
      <c r="E79" s="582">
        <f>Распределение!M69</f>
        <v>0</v>
      </c>
      <c r="F79" s="582">
        <f>Выплаты!J70</f>
        <v>0</v>
      </c>
      <c r="G79" s="583"/>
      <c r="H79" s="582">
        <f t="shared" si="9"/>
        <v>0</v>
      </c>
      <c r="I79" s="582">
        <f>Выплаты!O70</f>
        <v>0</v>
      </c>
      <c r="J79" s="583"/>
      <c r="K79" s="582">
        <f t="shared" si="10"/>
        <v>0</v>
      </c>
      <c r="L79" s="500">
        <f>Выплаты!T70</f>
        <v>0</v>
      </c>
      <c r="M79" s="592"/>
      <c r="N79" s="500">
        <f t="shared" si="11"/>
        <v>0</v>
      </c>
      <c r="O79" s="859"/>
      <c r="P79" s="859"/>
      <c r="Q79" s="859"/>
    </row>
    <row r="80" spans="1:17" hidden="1" outlineLevel="1" x14ac:dyDescent="0.3">
      <c r="A80" s="581">
        <f>Распределение!B70</f>
        <v>0</v>
      </c>
      <c r="B80" s="581">
        <f>Распределение!L70</f>
        <v>0</v>
      </c>
      <c r="C80" s="582" t="str">
        <f>'Состав ВТК'!$H66</f>
        <v>-</v>
      </c>
      <c r="D80" s="582" t="str">
        <f>'Состав ВТК'!$I66</f>
        <v>-</v>
      </c>
      <c r="E80" s="582">
        <f>Распределение!M70</f>
        <v>0</v>
      </c>
      <c r="F80" s="582">
        <f>Выплаты!J71</f>
        <v>0</v>
      </c>
      <c r="G80" s="583"/>
      <c r="H80" s="582">
        <f t="shared" si="9"/>
        <v>0</v>
      </c>
      <c r="I80" s="582">
        <f>Выплаты!O71</f>
        <v>0</v>
      </c>
      <c r="J80" s="583"/>
      <c r="K80" s="582">
        <f t="shared" si="10"/>
        <v>0</v>
      </c>
      <c r="L80" s="500">
        <f>Выплаты!T71</f>
        <v>0</v>
      </c>
      <c r="M80" s="592"/>
      <c r="N80" s="500">
        <f t="shared" si="11"/>
        <v>0</v>
      </c>
      <c r="O80" s="859"/>
      <c r="P80" s="859"/>
      <c r="Q80" s="859"/>
    </row>
    <row r="81" spans="1:17" hidden="1" outlineLevel="1" x14ac:dyDescent="0.3">
      <c r="A81" s="581">
        <f>Распределение!B71</f>
        <v>0</v>
      </c>
      <c r="B81" s="581">
        <f>Распределение!L71</f>
        <v>0</v>
      </c>
      <c r="C81" s="582" t="str">
        <f>'Состав ВТК'!$H67</f>
        <v>-</v>
      </c>
      <c r="D81" s="582" t="str">
        <f>'Состав ВТК'!$I67</f>
        <v>-</v>
      </c>
      <c r="E81" s="582">
        <f>Распределение!M71</f>
        <v>0</v>
      </c>
      <c r="F81" s="582">
        <f>Выплаты!J72</f>
        <v>0</v>
      </c>
      <c r="G81" s="583"/>
      <c r="H81" s="582">
        <f t="shared" si="9"/>
        <v>0</v>
      </c>
      <c r="I81" s="582">
        <f>Выплаты!O72</f>
        <v>0</v>
      </c>
      <c r="J81" s="583"/>
      <c r="K81" s="582">
        <f t="shared" si="10"/>
        <v>0</v>
      </c>
      <c r="L81" s="500">
        <f>Выплаты!T72</f>
        <v>0</v>
      </c>
      <c r="M81" s="592"/>
      <c r="N81" s="500">
        <f t="shared" si="11"/>
        <v>0</v>
      </c>
      <c r="O81" s="859"/>
      <c r="P81" s="859"/>
      <c r="Q81" s="859"/>
    </row>
    <row r="82" spans="1:17" hidden="1" outlineLevel="1" x14ac:dyDescent="0.3">
      <c r="A82" s="581">
        <f>Распределение!B72</f>
        <v>0</v>
      </c>
      <c r="B82" s="581">
        <f>Распределение!L72</f>
        <v>0</v>
      </c>
      <c r="C82" s="582" t="str">
        <f>'Состав ВТК'!$H68</f>
        <v>-</v>
      </c>
      <c r="D82" s="582" t="str">
        <f>'Состав ВТК'!$I68</f>
        <v>-</v>
      </c>
      <c r="E82" s="582">
        <f>Распределение!M72</f>
        <v>0</v>
      </c>
      <c r="F82" s="582">
        <f>Выплаты!J73</f>
        <v>0</v>
      </c>
      <c r="G82" s="583"/>
      <c r="H82" s="582">
        <f t="shared" si="9"/>
        <v>0</v>
      </c>
      <c r="I82" s="582">
        <f>Выплаты!O73</f>
        <v>0</v>
      </c>
      <c r="J82" s="583"/>
      <c r="K82" s="582">
        <f t="shared" si="10"/>
        <v>0</v>
      </c>
      <c r="L82" s="500">
        <f>Выплаты!T73</f>
        <v>0</v>
      </c>
      <c r="M82" s="592"/>
      <c r="N82" s="500">
        <f t="shared" si="11"/>
        <v>0</v>
      </c>
      <c r="O82" s="859"/>
      <c r="P82" s="859"/>
      <c r="Q82" s="859"/>
    </row>
    <row r="83" spans="1:17" hidden="1" outlineLevel="1" x14ac:dyDescent="0.3">
      <c r="A83" s="581">
        <f>Распределение!B73</f>
        <v>0</v>
      </c>
      <c r="B83" s="581">
        <f>Распределение!L73</f>
        <v>0</v>
      </c>
      <c r="C83" s="582" t="str">
        <f>'Состав ВТК'!$H69</f>
        <v>-</v>
      </c>
      <c r="D83" s="582" t="str">
        <f>'Состав ВТК'!$I69</f>
        <v>-</v>
      </c>
      <c r="E83" s="582">
        <f>Распределение!M73</f>
        <v>0</v>
      </c>
      <c r="F83" s="582">
        <f>Выплаты!J74</f>
        <v>0</v>
      </c>
      <c r="G83" s="583"/>
      <c r="H83" s="582">
        <f t="shared" si="9"/>
        <v>0</v>
      </c>
      <c r="I83" s="582">
        <f>Выплаты!O74</f>
        <v>0</v>
      </c>
      <c r="J83" s="583"/>
      <c r="K83" s="582">
        <f t="shared" si="10"/>
        <v>0</v>
      </c>
      <c r="L83" s="500">
        <f>Выплаты!T74</f>
        <v>0</v>
      </c>
      <c r="M83" s="592"/>
      <c r="N83" s="500">
        <f t="shared" si="11"/>
        <v>0</v>
      </c>
      <c r="O83" s="859"/>
      <c r="P83" s="859"/>
      <c r="Q83" s="859"/>
    </row>
    <row r="84" spans="1:17" hidden="1" outlineLevel="1" x14ac:dyDescent="0.3">
      <c r="A84" s="581">
        <f>Распределение!B74</f>
        <v>0</v>
      </c>
      <c r="B84" s="581">
        <f>Распределение!L74</f>
        <v>0</v>
      </c>
      <c r="C84" s="582" t="str">
        <f>'Состав ВТК'!$H70</f>
        <v>-</v>
      </c>
      <c r="D84" s="582" t="str">
        <f>'Состав ВТК'!$I70</f>
        <v>-</v>
      </c>
      <c r="E84" s="582">
        <f>Распределение!M74</f>
        <v>0</v>
      </c>
      <c r="F84" s="582">
        <f>Выплаты!J75</f>
        <v>0</v>
      </c>
      <c r="G84" s="583"/>
      <c r="H84" s="582">
        <f t="shared" si="9"/>
        <v>0</v>
      </c>
      <c r="I84" s="582">
        <f>Выплаты!O75</f>
        <v>0</v>
      </c>
      <c r="J84" s="583"/>
      <c r="K84" s="582">
        <f t="shared" si="10"/>
        <v>0</v>
      </c>
      <c r="L84" s="500">
        <f>Выплаты!T75</f>
        <v>0</v>
      </c>
      <c r="M84" s="592"/>
      <c r="N84" s="500">
        <f t="shared" si="11"/>
        <v>0</v>
      </c>
      <c r="O84" s="859"/>
      <c r="P84" s="859"/>
      <c r="Q84" s="859"/>
    </row>
    <row r="85" spans="1:17" hidden="1" outlineLevel="1" x14ac:dyDescent="0.3">
      <c r="A85" s="581">
        <f>Распределение!B75</f>
        <v>0</v>
      </c>
      <c r="B85" s="581">
        <f>Распределение!L75</f>
        <v>0</v>
      </c>
      <c r="C85" s="582" t="str">
        <f>'Состав ВТК'!$H71</f>
        <v>-</v>
      </c>
      <c r="D85" s="582" t="str">
        <f>'Состав ВТК'!$I71</f>
        <v>-</v>
      </c>
      <c r="E85" s="582">
        <f>Распределение!M75</f>
        <v>0</v>
      </c>
      <c r="F85" s="582">
        <f>Выплаты!J76</f>
        <v>0</v>
      </c>
      <c r="G85" s="583"/>
      <c r="H85" s="582">
        <f t="shared" si="9"/>
        <v>0</v>
      </c>
      <c r="I85" s="582">
        <f>Выплаты!O76</f>
        <v>0</v>
      </c>
      <c r="J85" s="583"/>
      <c r="K85" s="582">
        <f t="shared" si="10"/>
        <v>0</v>
      </c>
      <c r="L85" s="500">
        <f>Выплаты!T76</f>
        <v>0</v>
      </c>
      <c r="M85" s="592"/>
      <c r="N85" s="500">
        <f t="shared" si="11"/>
        <v>0</v>
      </c>
      <c r="O85" s="859"/>
      <c r="P85" s="859"/>
      <c r="Q85" s="859"/>
    </row>
    <row r="86" spans="1:17" hidden="1" outlineLevel="1" x14ac:dyDescent="0.3">
      <c r="A86" s="581">
        <f>Распределение!B76</f>
        <v>0</v>
      </c>
      <c r="B86" s="581">
        <f>Распределение!L76</f>
        <v>0</v>
      </c>
      <c r="C86" s="582" t="str">
        <f>'Состав ВТК'!$H72</f>
        <v>-</v>
      </c>
      <c r="D86" s="582" t="str">
        <f>'Состав ВТК'!$I72</f>
        <v>-</v>
      </c>
      <c r="E86" s="582">
        <f>Распределение!M76</f>
        <v>0</v>
      </c>
      <c r="F86" s="582">
        <f>Выплаты!J77</f>
        <v>0</v>
      </c>
      <c r="G86" s="583"/>
      <c r="H86" s="582">
        <f t="shared" si="9"/>
        <v>0</v>
      </c>
      <c r="I86" s="582">
        <f>Выплаты!O77</f>
        <v>0</v>
      </c>
      <c r="J86" s="583"/>
      <c r="K86" s="582">
        <f t="shared" si="10"/>
        <v>0</v>
      </c>
      <c r="L86" s="500">
        <f>Выплаты!T77</f>
        <v>0</v>
      </c>
      <c r="M86" s="592"/>
      <c r="N86" s="500">
        <f t="shared" si="11"/>
        <v>0</v>
      </c>
      <c r="O86" s="859"/>
      <c r="P86" s="859"/>
      <c r="Q86" s="859"/>
    </row>
    <row r="87" spans="1:17" hidden="1" outlineLevel="1" x14ac:dyDescent="0.3">
      <c r="A87" s="581">
        <f>Распределение!B77</f>
        <v>0</v>
      </c>
      <c r="B87" s="581">
        <f>Распределение!L77</f>
        <v>0</v>
      </c>
      <c r="C87" s="582" t="str">
        <f>'Состав ВТК'!$H73</f>
        <v>-</v>
      </c>
      <c r="D87" s="582" t="str">
        <f>'Состав ВТК'!$I73</f>
        <v>-</v>
      </c>
      <c r="E87" s="582">
        <f>Распределение!M77</f>
        <v>0</v>
      </c>
      <c r="F87" s="582">
        <f>Выплаты!J78</f>
        <v>0</v>
      </c>
      <c r="G87" s="583"/>
      <c r="H87" s="582">
        <f t="shared" si="9"/>
        <v>0</v>
      </c>
      <c r="I87" s="582">
        <f>Выплаты!O78</f>
        <v>0</v>
      </c>
      <c r="J87" s="583"/>
      <c r="K87" s="582">
        <f t="shared" si="10"/>
        <v>0</v>
      </c>
      <c r="L87" s="500">
        <f>Выплаты!T78</f>
        <v>0</v>
      </c>
      <c r="M87" s="592"/>
      <c r="N87" s="500">
        <f t="shared" si="11"/>
        <v>0</v>
      </c>
      <c r="O87" s="859"/>
      <c r="P87" s="859"/>
      <c r="Q87" s="859"/>
    </row>
    <row r="88" spans="1:17" hidden="1" outlineLevel="1" x14ac:dyDescent="0.3">
      <c r="A88" s="581">
        <f>Распределение!B78</f>
        <v>0</v>
      </c>
      <c r="B88" s="581">
        <f>Распределение!L78</f>
        <v>0</v>
      </c>
      <c r="C88" s="582" t="str">
        <f>'Состав ВТК'!$H74</f>
        <v>-</v>
      </c>
      <c r="D88" s="582" t="str">
        <f>'Состав ВТК'!$I74</f>
        <v>-</v>
      </c>
      <c r="E88" s="582">
        <f>Распределение!M78</f>
        <v>0</v>
      </c>
      <c r="F88" s="582">
        <f>Выплаты!J79</f>
        <v>0</v>
      </c>
      <c r="G88" s="583"/>
      <c r="H88" s="582">
        <f t="shared" si="9"/>
        <v>0</v>
      </c>
      <c r="I88" s="582">
        <f>Выплаты!O79</f>
        <v>0</v>
      </c>
      <c r="J88" s="583"/>
      <c r="K88" s="582">
        <f t="shared" si="10"/>
        <v>0</v>
      </c>
      <c r="L88" s="500">
        <f>Выплаты!T79</f>
        <v>0</v>
      </c>
      <c r="M88" s="592"/>
      <c r="N88" s="500">
        <f t="shared" si="11"/>
        <v>0</v>
      </c>
      <c r="O88" s="859"/>
      <c r="P88" s="859"/>
      <c r="Q88" s="859"/>
    </row>
    <row r="89" spans="1:17" hidden="1" outlineLevel="1" x14ac:dyDescent="0.3">
      <c r="A89" s="581">
        <f>Распределение!B79</f>
        <v>0</v>
      </c>
      <c r="B89" s="581">
        <f>Распределение!L79</f>
        <v>0</v>
      </c>
      <c r="C89" s="582" t="str">
        <f>'Состав ВТК'!$H75</f>
        <v>-</v>
      </c>
      <c r="D89" s="582" t="str">
        <f>'Состав ВТК'!$I75</f>
        <v>-</v>
      </c>
      <c r="E89" s="582">
        <f>Распределение!M79</f>
        <v>0</v>
      </c>
      <c r="F89" s="582">
        <f>Выплаты!J80</f>
        <v>0</v>
      </c>
      <c r="G89" s="583"/>
      <c r="H89" s="582">
        <f t="shared" si="9"/>
        <v>0</v>
      </c>
      <c r="I89" s="582">
        <f>Выплаты!O80</f>
        <v>0</v>
      </c>
      <c r="J89" s="583"/>
      <c r="K89" s="582">
        <f t="shared" si="10"/>
        <v>0</v>
      </c>
      <c r="L89" s="500">
        <f>Выплаты!T80</f>
        <v>0</v>
      </c>
      <c r="M89" s="592"/>
      <c r="N89" s="500">
        <f t="shared" si="11"/>
        <v>0</v>
      </c>
      <c r="O89" s="859"/>
      <c r="P89" s="859"/>
      <c r="Q89" s="859"/>
    </row>
    <row r="90" spans="1:17" hidden="1" outlineLevel="1" x14ac:dyDescent="0.3">
      <c r="A90" s="581">
        <f>Распределение!B80</f>
        <v>0</v>
      </c>
      <c r="B90" s="581">
        <f>Распределение!L80</f>
        <v>0</v>
      </c>
      <c r="C90" s="582" t="str">
        <f>'Состав ВТК'!$H76</f>
        <v>-</v>
      </c>
      <c r="D90" s="582" t="str">
        <f>'Состав ВТК'!$I76</f>
        <v>-</v>
      </c>
      <c r="E90" s="582">
        <f>Распределение!M80</f>
        <v>0</v>
      </c>
      <c r="F90" s="582">
        <f>Выплаты!J81</f>
        <v>0</v>
      </c>
      <c r="G90" s="583"/>
      <c r="H90" s="582">
        <f t="shared" si="9"/>
        <v>0</v>
      </c>
      <c r="I90" s="582">
        <f>Выплаты!O81</f>
        <v>0</v>
      </c>
      <c r="J90" s="583"/>
      <c r="K90" s="582">
        <f t="shared" si="10"/>
        <v>0</v>
      </c>
      <c r="L90" s="500">
        <f>Выплаты!T81</f>
        <v>0</v>
      </c>
      <c r="M90" s="592"/>
      <c r="N90" s="500">
        <f t="shared" si="11"/>
        <v>0</v>
      </c>
      <c r="O90" s="859"/>
      <c r="P90" s="859"/>
      <c r="Q90" s="859"/>
    </row>
    <row r="91" spans="1:17" s="631" customFormat="1" hidden="1" outlineLevel="1" x14ac:dyDescent="0.3">
      <c r="A91" s="581">
        <f>Распределение!B81</f>
        <v>0</v>
      </c>
      <c r="B91" s="581">
        <f>Распределение!L81</f>
        <v>0</v>
      </c>
      <c r="C91" s="582" t="str">
        <f>'Состав ВТК'!$H77</f>
        <v>-</v>
      </c>
      <c r="D91" s="582" t="str">
        <f>'Состав ВТК'!$I77</f>
        <v>-</v>
      </c>
      <c r="E91" s="582">
        <f>Распределение!M81</f>
        <v>0</v>
      </c>
      <c r="F91" s="582">
        <f>Выплаты!J82</f>
        <v>0</v>
      </c>
      <c r="G91" s="583"/>
      <c r="H91" s="582">
        <f t="shared" si="9"/>
        <v>0</v>
      </c>
      <c r="I91" s="582">
        <f>Выплаты!O82</f>
        <v>0</v>
      </c>
      <c r="J91" s="583"/>
      <c r="K91" s="582">
        <f t="shared" si="10"/>
        <v>0</v>
      </c>
      <c r="L91" s="500">
        <f>Выплаты!T82</f>
        <v>0</v>
      </c>
      <c r="M91" s="592"/>
      <c r="N91" s="500">
        <f t="shared" si="11"/>
        <v>0</v>
      </c>
      <c r="O91" s="860"/>
      <c r="P91" s="860"/>
      <c r="Q91" s="860"/>
    </row>
    <row r="92" spans="1:17" s="631" customFormat="1" hidden="1" outlineLevel="1" x14ac:dyDescent="0.3">
      <c r="A92" s="581">
        <f>Распределение!B82</f>
        <v>0</v>
      </c>
      <c r="B92" s="581">
        <f>Распределение!L82</f>
        <v>0</v>
      </c>
      <c r="C92" s="582" t="str">
        <f>'Состав ВТК'!$H78</f>
        <v>-</v>
      </c>
      <c r="D92" s="582" t="str">
        <f>'Состав ВТК'!$I78</f>
        <v>-</v>
      </c>
      <c r="E92" s="582">
        <f>Распределение!M82</f>
        <v>0</v>
      </c>
      <c r="F92" s="582">
        <f>Выплаты!J83</f>
        <v>0</v>
      </c>
      <c r="G92" s="583"/>
      <c r="H92" s="582">
        <f t="shared" si="9"/>
        <v>0</v>
      </c>
      <c r="I92" s="582">
        <f>Выплаты!O83</f>
        <v>0</v>
      </c>
      <c r="J92" s="583"/>
      <c r="K92" s="582">
        <f t="shared" si="10"/>
        <v>0</v>
      </c>
      <c r="L92" s="500">
        <f>Выплаты!T83</f>
        <v>0</v>
      </c>
      <c r="M92" s="592"/>
      <c r="N92" s="500">
        <f t="shared" si="11"/>
        <v>0</v>
      </c>
      <c r="O92" s="860"/>
      <c r="P92" s="860"/>
      <c r="Q92" s="860"/>
    </row>
    <row r="93" spans="1:17" s="631" customFormat="1" hidden="1" outlineLevel="1" x14ac:dyDescent="0.3">
      <c r="A93" s="581">
        <f>Распределение!B83</f>
        <v>0</v>
      </c>
      <c r="B93" s="581">
        <f>Распределение!L83</f>
        <v>0</v>
      </c>
      <c r="C93" s="582" t="str">
        <f>'Состав ВТК'!$H79</f>
        <v>-</v>
      </c>
      <c r="D93" s="582" t="str">
        <f>'Состав ВТК'!$I79</f>
        <v>-</v>
      </c>
      <c r="E93" s="582">
        <f>Распределение!M83</f>
        <v>0</v>
      </c>
      <c r="F93" s="582">
        <f>Выплаты!J84</f>
        <v>0</v>
      </c>
      <c r="G93" s="583"/>
      <c r="H93" s="582">
        <f t="shared" si="9"/>
        <v>0</v>
      </c>
      <c r="I93" s="582">
        <f>Выплаты!O84</f>
        <v>0</v>
      </c>
      <c r="J93" s="583"/>
      <c r="K93" s="582">
        <f t="shared" si="10"/>
        <v>0</v>
      </c>
      <c r="L93" s="500">
        <f>Выплаты!T84</f>
        <v>0</v>
      </c>
      <c r="M93" s="592"/>
      <c r="N93" s="500">
        <f t="shared" si="11"/>
        <v>0</v>
      </c>
      <c r="O93" s="860"/>
      <c r="P93" s="860"/>
      <c r="Q93" s="860"/>
    </row>
    <row r="94" spans="1:17" s="631" customFormat="1" hidden="1" outlineLevel="1" x14ac:dyDescent="0.3">
      <c r="A94" s="581">
        <f>Распределение!B84</f>
        <v>0</v>
      </c>
      <c r="B94" s="581">
        <f>Распределение!L84</f>
        <v>0</v>
      </c>
      <c r="C94" s="582" t="str">
        <f>'Состав ВТК'!$H80</f>
        <v>-</v>
      </c>
      <c r="D94" s="582" t="str">
        <f>'Состав ВТК'!$I80</f>
        <v>-</v>
      </c>
      <c r="E94" s="582">
        <f>Распределение!M84</f>
        <v>0</v>
      </c>
      <c r="F94" s="582">
        <f>Выплаты!J85</f>
        <v>0</v>
      </c>
      <c r="G94" s="583"/>
      <c r="H94" s="582">
        <f t="shared" si="9"/>
        <v>0</v>
      </c>
      <c r="I94" s="582">
        <f>Выплаты!O85</f>
        <v>0</v>
      </c>
      <c r="J94" s="583"/>
      <c r="K94" s="582">
        <f t="shared" si="10"/>
        <v>0</v>
      </c>
      <c r="L94" s="500">
        <f>Выплаты!T85</f>
        <v>0</v>
      </c>
      <c r="M94" s="592"/>
      <c r="N94" s="500">
        <f t="shared" si="11"/>
        <v>0</v>
      </c>
      <c r="O94" s="860"/>
      <c r="P94" s="860"/>
      <c r="Q94" s="860"/>
    </row>
    <row r="95" spans="1:17" s="631" customFormat="1" hidden="1" outlineLevel="1" x14ac:dyDescent="0.3">
      <c r="A95" s="581">
        <f>Распределение!B85</f>
        <v>0</v>
      </c>
      <c r="B95" s="581">
        <f>Распределение!L85</f>
        <v>0</v>
      </c>
      <c r="C95" s="582" t="str">
        <f>'Состав ВТК'!$H81</f>
        <v>-</v>
      </c>
      <c r="D95" s="582" t="str">
        <f>'Состав ВТК'!$I81</f>
        <v>-</v>
      </c>
      <c r="E95" s="582">
        <f>Распределение!M85</f>
        <v>0</v>
      </c>
      <c r="F95" s="582">
        <f>Выплаты!J86</f>
        <v>0</v>
      </c>
      <c r="G95" s="583"/>
      <c r="H95" s="582">
        <f t="shared" si="9"/>
        <v>0</v>
      </c>
      <c r="I95" s="582">
        <f>Выплаты!O86</f>
        <v>0</v>
      </c>
      <c r="J95" s="583"/>
      <c r="K95" s="582">
        <f t="shared" si="10"/>
        <v>0</v>
      </c>
      <c r="L95" s="500">
        <f>Выплаты!T86</f>
        <v>0</v>
      </c>
      <c r="M95" s="592"/>
      <c r="N95" s="500">
        <f t="shared" si="11"/>
        <v>0</v>
      </c>
      <c r="O95" s="860"/>
      <c r="P95" s="860"/>
      <c r="Q95" s="860"/>
    </row>
    <row r="96" spans="1:17" s="631" customFormat="1" hidden="1" outlineLevel="1" x14ac:dyDescent="0.3">
      <c r="A96" s="581">
        <f>Распределение!B86</f>
        <v>0</v>
      </c>
      <c r="B96" s="581">
        <f>Распределение!L86</f>
        <v>0</v>
      </c>
      <c r="C96" s="582" t="str">
        <f>'Состав ВТК'!$H82</f>
        <v>-</v>
      </c>
      <c r="D96" s="582" t="str">
        <f>'Состав ВТК'!$I82</f>
        <v>-</v>
      </c>
      <c r="E96" s="582">
        <f>Распределение!M86</f>
        <v>0</v>
      </c>
      <c r="F96" s="582">
        <f>Выплаты!J87</f>
        <v>0</v>
      </c>
      <c r="G96" s="583"/>
      <c r="H96" s="582">
        <f t="shared" si="9"/>
        <v>0</v>
      </c>
      <c r="I96" s="582">
        <f>Выплаты!O87</f>
        <v>0</v>
      </c>
      <c r="J96" s="583"/>
      <c r="K96" s="582">
        <f t="shared" si="10"/>
        <v>0</v>
      </c>
      <c r="L96" s="500">
        <f>Выплаты!T87</f>
        <v>0</v>
      </c>
      <c r="M96" s="592"/>
      <c r="N96" s="500">
        <f t="shared" si="11"/>
        <v>0</v>
      </c>
      <c r="O96" s="860"/>
      <c r="P96" s="860"/>
      <c r="Q96" s="860"/>
    </row>
    <row r="97" spans="1:17" s="631" customFormat="1" hidden="1" outlineLevel="1" x14ac:dyDescent="0.3">
      <c r="A97" s="581">
        <f>Распределение!B87</f>
        <v>0</v>
      </c>
      <c r="B97" s="581">
        <f>Распределение!L87</f>
        <v>0</v>
      </c>
      <c r="C97" s="582" t="str">
        <f>'Состав ВТК'!$H83</f>
        <v>-</v>
      </c>
      <c r="D97" s="582" t="str">
        <f>'Состав ВТК'!$I83</f>
        <v>-</v>
      </c>
      <c r="E97" s="582">
        <f>Распределение!M87</f>
        <v>0</v>
      </c>
      <c r="F97" s="582">
        <f>Выплаты!J88</f>
        <v>0</v>
      </c>
      <c r="G97" s="583"/>
      <c r="H97" s="582">
        <f t="shared" si="9"/>
        <v>0</v>
      </c>
      <c r="I97" s="582">
        <f>Выплаты!O88</f>
        <v>0</v>
      </c>
      <c r="J97" s="583"/>
      <c r="K97" s="582">
        <f t="shared" si="10"/>
        <v>0</v>
      </c>
      <c r="L97" s="500">
        <f>Выплаты!T88</f>
        <v>0</v>
      </c>
      <c r="M97" s="592"/>
      <c r="N97" s="500">
        <f t="shared" si="11"/>
        <v>0</v>
      </c>
      <c r="O97" s="860"/>
      <c r="P97" s="860"/>
      <c r="Q97" s="860"/>
    </row>
    <row r="98" spans="1:17" s="631" customFormat="1" hidden="1" outlineLevel="1" x14ac:dyDescent="0.3">
      <c r="A98" s="581">
        <f>Распределение!B88</f>
        <v>0</v>
      </c>
      <c r="B98" s="581">
        <f>Распределение!L88</f>
        <v>0</v>
      </c>
      <c r="C98" s="582" t="str">
        <f>'Состав ВТК'!$H84</f>
        <v>-</v>
      </c>
      <c r="D98" s="582" t="str">
        <f>'Состав ВТК'!$I84</f>
        <v>-</v>
      </c>
      <c r="E98" s="582">
        <f>Распределение!M88</f>
        <v>0</v>
      </c>
      <c r="F98" s="582">
        <f>Выплаты!J89</f>
        <v>0</v>
      </c>
      <c r="G98" s="583"/>
      <c r="H98" s="582">
        <f t="shared" si="9"/>
        <v>0</v>
      </c>
      <c r="I98" s="582">
        <f>Выплаты!O89</f>
        <v>0</v>
      </c>
      <c r="J98" s="583"/>
      <c r="K98" s="582">
        <f t="shared" si="10"/>
        <v>0</v>
      </c>
      <c r="L98" s="500">
        <f>Выплаты!T89</f>
        <v>0</v>
      </c>
      <c r="M98" s="592"/>
      <c r="N98" s="500">
        <f t="shared" si="11"/>
        <v>0</v>
      </c>
      <c r="O98" s="860"/>
      <c r="P98" s="860"/>
      <c r="Q98" s="860"/>
    </row>
    <row r="99" spans="1:17" s="631" customFormat="1" hidden="1" outlineLevel="1" x14ac:dyDescent="0.3">
      <c r="A99" s="581">
        <f>Распределение!B89</f>
        <v>0</v>
      </c>
      <c r="B99" s="581">
        <f>Распределение!L89</f>
        <v>0</v>
      </c>
      <c r="C99" s="582" t="str">
        <f>'Состав ВТК'!$H85</f>
        <v>-</v>
      </c>
      <c r="D99" s="582" t="str">
        <f>'Состав ВТК'!$I85</f>
        <v>-</v>
      </c>
      <c r="E99" s="582">
        <f>Распределение!M89</f>
        <v>0</v>
      </c>
      <c r="F99" s="582">
        <f>Выплаты!J90</f>
        <v>0</v>
      </c>
      <c r="G99" s="583"/>
      <c r="H99" s="582">
        <f t="shared" si="9"/>
        <v>0</v>
      </c>
      <c r="I99" s="582">
        <f>Выплаты!O90</f>
        <v>0</v>
      </c>
      <c r="J99" s="583"/>
      <c r="K99" s="582">
        <f t="shared" si="10"/>
        <v>0</v>
      </c>
      <c r="L99" s="500">
        <f>Выплаты!T90</f>
        <v>0</v>
      </c>
      <c r="M99" s="592"/>
      <c r="N99" s="500">
        <f t="shared" si="11"/>
        <v>0</v>
      </c>
      <c r="O99" s="860"/>
      <c r="P99" s="860"/>
      <c r="Q99" s="860"/>
    </row>
    <row r="100" spans="1:17" s="631" customFormat="1" hidden="1" outlineLevel="1" x14ac:dyDescent="0.3">
      <c r="A100" s="581">
        <f>Распределение!B90</f>
        <v>0</v>
      </c>
      <c r="B100" s="581">
        <f>Распределение!L90</f>
        <v>0</v>
      </c>
      <c r="C100" s="582" t="str">
        <f>'Состав ВТК'!$H86</f>
        <v>-</v>
      </c>
      <c r="D100" s="582" t="str">
        <f>'Состав ВТК'!$I86</f>
        <v>-</v>
      </c>
      <c r="E100" s="582">
        <f>Распределение!M90</f>
        <v>0</v>
      </c>
      <c r="F100" s="582">
        <f>Выплаты!J91</f>
        <v>0</v>
      </c>
      <c r="G100" s="583"/>
      <c r="H100" s="582">
        <f t="shared" ref="H100:H119" si="12">F100+G100</f>
        <v>0</v>
      </c>
      <c r="I100" s="582">
        <f>Выплаты!O91</f>
        <v>0</v>
      </c>
      <c r="J100" s="583"/>
      <c r="K100" s="582">
        <f t="shared" ref="K100:K119" si="13">I100+J100</f>
        <v>0</v>
      </c>
      <c r="L100" s="500">
        <f>Выплаты!T91</f>
        <v>0</v>
      </c>
      <c r="M100" s="592"/>
      <c r="N100" s="500">
        <f t="shared" ref="N100:N119" si="14">L100+M100</f>
        <v>0</v>
      </c>
      <c r="O100" s="860"/>
      <c r="P100" s="860"/>
      <c r="Q100" s="860"/>
    </row>
    <row r="101" spans="1:17" s="631" customFormat="1" hidden="1" outlineLevel="1" x14ac:dyDescent="0.3">
      <c r="A101" s="581">
        <f>Распределение!B91</f>
        <v>0</v>
      </c>
      <c r="B101" s="581">
        <f>Распределение!L91</f>
        <v>0</v>
      </c>
      <c r="C101" s="582" t="str">
        <f>'Состав ВТК'!$H87</f>
        <v>-</v>
      </c>
      <c r="D101" s="582" t="str">
        <f>'Состав ВТК'!$I87</f>
        <v>-</v>
      </c>
      <c r="E101" s="582">
        <f>Распределение!M91</f>
        <v>0</v>
      </c>
      <c r="F101" s="582">
        <f>Выплаты!J92</f>
        <v>0</v>
      </c>
      <c r="G101" s="583"/>
      <c r="H101" s="582">
        <f t="shared" si="12"/>
        <v>0</v>
      </c>
      <c r="I101" s="582">
        <f>Выплаты!O92</f>
        <v>0</v>
      </c>
      <c r="J101" s="583"/>
      <c r="K101" s="582">
        <f t="shared" si="13"/>
        <v>0</v>
      </c>
      <c r="L101" s="500">
        <f>Выплаты!T92</f>
        <v>0</v>
      </c>
      <c r="M101" s="592"/>
      <c r="N101" s="500">
        <f t="shared" si="14"/>
        <v>0</v>
      </c>
      <c r="O101" s="860"/>
      <c r="P101" s="860"/>
      <c r="Q101" s="860"/>
    </row>
    <row r="102" spans="1:17" s="631" customFormat="1" hidden="1" outlineLevel="1" x14ac:dyDescent="0.3">
      <c r="A102" s="581">
        <f>Распределение!B92</f>
        <v>0</v>
      </c>
      <c r="B102" s="581">
        <f>Распределение!L92</f>
        <v>0</v>
      </c>
      <c r="C102" s="582" t="str">
        <f>'Состав ВТК'!$H88</f>
        <v>-</v>
      </c>
      <c r="D102" s="582" t="str">
        <f>'Состав ВТК'!$I88</f>
        <v>-</v>
      </c>
      <c r="E102" s="582">
        <f>Распределение!M92</f>
        <v>0</v>
      </c>
      <c r="F102" s="582">
        <f>Выплаты!J93</f>
        <v>0</v>
      </c>
      <c r="G102" s="583"/>
      <c r="H102" s="582">
        <f t="shared" si="12"/>
        <v>0</v>
      </c>
      <c r="I102" s="582">
        <f>Выплаты!O93</f>
        <v>0</v>
      </c>
      <c r="J102" s="583"/>
      <c r="K102" s="582">
        <f t="shared" si="13"/>
        <v>0</v>
      </c>
      <c r="L102" s="500">
        <f>Выплаты!T93</f>
        <v>0</v>
      </c>
      <c r="M102" s="592"/>
      <c r="N102" s="500">
        <f t="shared" si="14"/>
        <v>0</v>
      </c>
      <c r="O102" s="860"/>
      <c r="P102" s="860"/>
      <c r="Q102" s="860"/>
    </row>
    <row r="103" spans="1:17" s="631" customFormat="1" hidden="1" outlineLevel="1" x14ac:dyDescent="0.3">
      <c r="A103" s="581">
        <f>Распределение!B93</f>
        <v>0</v>
      </c>
      <c r="B103" s="581">
        <f>Распределение!L93</f>
        <v>0</v>
      </c>
      <c r="C103" s="582" t="str">
        <f>'Состав ВТК'!$H89</f>
        <v>-</v>
      </c>
      <c r="D103" s="582" t="str">
        <f>'Состав ВТК'!$I89</f>
        <v>-</v>
      </c>
      <c r="E103" s="582">
        <f>Распределение!M93</f>
        <v>0</v>
      </c>
      <c r="F103" s="582">
        <f>Выплаты!J94</f>
        <v>0</v>
      </c>
      <c r="G103" s="583"/>
      <c r="H103" s="582">
        <f t="shared" si="12"/>
        <v>0</v>
      </c>
      <c r="I103" s="582">
        <f>Выплаты!O94</f>
        <v>0</v>
      </c>
      <c r="J103" s="583"/>
      <c r="K103" s="582">
        <f t="shared" si="13"/>
        <v>0</v>
      </c>
      <c r="L103" s="500">
        <f>Выплаты!T94</f>
        <v>0</v>
      </c>
      <c r="M103" s="592"/>
      <c r="N103" s="500">
        <f t="shared" si="14"/>
        <v>0</v>
      </c>
      <c r="O103" s="860"/>
      <c r="P103" s="860"/>
      <c r="Q103" s="860"/>
    </row>
    <row r="104" spans="1:17" s="631" customFormat="1" hidden="1" outlineLevel="1" x14ac:dyDescent="0.3">
      <c r="A104" s="581">
        <f>Распределение!B94</f>
        <v>0</v>
      </c>
      <c r="B104" s="581">
        <f>Распределение!L94</f>
        <v>0</v>
      </c>
      <c r="C104" s="582" t="str">
        <f>'Состав ВТК'!$H90</f>
        <v>-</v>
      </c>
      <c r="D104" s="582" t="str">
        <f>'Состав ВТК'!$I90</f>
        <v>-</v>
      </c>
      <c r="E104" s="582">
        <f>Распределение!M94</f>
        <v>0</v>
      </c>
      <c r="F104" s="582">
        <f>Выплаты!J95</f>
        <v>0</v>
      </c>
      <c r="G104" s="583"/>
      <c r="H104" s="582">
        <f t="shared" si="12"/>
        <v>0</v>
      </c>
      <c r="I104" s="582">
        <f>Выплаты!O95</f>
        <v>0</v>
      </c>
      <c r="J104" s="583"/>
      <c r="K104" s="582">
        <f t="shared" si="13"/>
        <v>0</v>
      </c>
      <c r="L104" s="500">
        <f>Выплаты!T95</f>
        <v>0</v>
      </c>
      <c r="M104" s="592"/>
      <c r="N104" s="500">
        <f t="shared" si="14"/>
        <v>0</v>
      </c>
      <c r="O104" s="860"/>
      <c r="P104" s="860"/>
      <c r="Q104" s="860"/>
    </row>
    <row r="105" spans="1:17" s="631" customFormat="1" hidden="1" outlineLevel="1" x14ac:dyDescent="0.3">
      <c r="A105" s="581">
        <f>Распределение!B95</f>
        <v>0</v>
      </c>
      <c r="B105" s="581">
        <f>Распределение!L95</f>
        <v>0</v>
      </c>
      <c r="C105" s="582" t="str">
        <f>'Состав ВТК'!$H91</f>
        <v>-</v>
      </c>
      <c r="D105" s="582" t="str">
        <f>'Состав ВТК'!$I91</f>
        <v>-</v>
      </c>
      <c r="E105" s="582">
        <f>Распределение!M95</f>
        <v>0</v>
      </c>
      <c r="F105" s="582">
        <f>Выплаты!J96</f>
        <v>0</v>
      </c>
      <c r="G105" s="583"/>
      <c r="H105" s="582">
        <f t="shared" si="12"/>
        <v>0</v>
      </c>
      <c r="I105" s="582">
        <f>Выплаты!O96</f>
        <v>0</v>
      </c>
      <c r="J105" s="583"/>
      <c r="K105" s="582">
        <f t="shared" si="13"/>
        <v>0</v>
      </c>
      <c r="L105" s="500">
        <f>Выплаты!T96</f>
        <v>0</v>
      </c>
      <c r="M105" s="592"/>
      <c r="N105" s="500">
        <f t="shared" si="14"/>
        <v>0</v>
      </c>
      <c r="O105" s="860"/>
      <c r="P105" s="860"/>
      <c r="Q105" s="860"/>
    </row>
    <row r="106" spans="1:17" s="631" customFormat="1" hidden="1" outlineLevel="1" x14ac:dyDescent="0.3">
      <c r="A106" s="581">
        <f>Распределение!B96</f>
        <v>0</v>
      </c>
      <c r="B106" s="581">
        <f>Распределение!L96</f>
        <v>0</v>
      </c>
      <c r="C106" s="582" t="str">
        <f>'Состав ВТК'!$H92</f>
        <v>-</v>
      </c>
      <c r="D106" s="582" t="str">
        <f>'Состав ВТК'!$I92</f>
        <v>-</v>
      </c>
      <c r="E106" s="582">
        <f>Распределение!M96</f>
        <v>0</v>
      </c>
      <c r="F106" s="582">
        <f>Выплаты!J97</f>
        <v>0</v>
      </c>
      <c r="G106" s="583"/>
      <c r="H106" s="582">
        <f t="shared" si="12"/>
        <v>0</v>
      </c>
      <c r="I106" s="582">
        <f>Выплаты!O97</f>
        <v>0</v>
      </c>
      <c r="J106" s="583"/>
      <c r="K106" s="582">
        <f t="shared" si="13"/>
        <v>0</v>
      </c>
      <c r="L106" s="500">
        <f>Выплаты!T97</f>
        <v>0</v>
      </c>
      <c r="M106" s="592"/>
      <c r="N106" s="500">
        <f t="shared" si="14"/>
        <v>0</v>
      </c>
      <c r="O106" s="860"/>
      <c r="P106" s="860"/>
      <c r="Q106" s="860"/>
    </row>
    <row r="107" spans="1:17" s="631" customFormat="1" hidden="1" outlineLevel="1" x14ac:dyDescent="0.3">
      <c r="A107" s="581">
        <f>Распределение!B97</f>
        <v>0</v>
      </c>
      <c r="B107" s="581">
        <f>Распределение!L97</f>
        <v>0</v>
      </c>
      <c r="C107" s="582" t="str">
        <f>'Состав ВТК'!$H93</f>
        <v>-</v>
      </c>
      <c r="D107" s="582" t="str">
        <f>'Состав ВТК'!$I93</f>
        <v>-</v>
      </c>
      <c r="E107" s="582">
        <f>Распределение!M97</f>
        <v>0</v>
      </c>
      <c r="F107" s="582">
        <f>Выплаты!J98</f>
        <v>0</v>
      </c>
      <c r="G107" s="583"/>
      <c r="H107" s="582">
        <f t="shared" si="12"/>
        <v>0</v>
      </c>
      <c r="I107" s="582">
        <f>Выплаты!O98</f>
        <v>0</v>
      </c>
      <c r="J107" s="583"/>
      <c r="K107" s="582">
        <f t="shared" si="13"/>
        <v>0</v>
      </c>
      <c r="L107" s="500">
        <f>Выплаты!T98</f>
        <v>0</v>
      </c>
      <c r="M107" s="592"/>
      <c r="N107" s="500">
        <f t="shared" si="14"/>
        <v>0</v>
      </c>
      <c r="O107" s="860"/>
      <c r="P107" s="860"/>
      <c r="Q107" s="860"/>
    </row>
    <row r="108" spans="1:17" s="631" customFormat="1" hidden="1" outlineLevel="1" x14ac:dyDescent="0.3">
      <c r="A108" s="581">
        <f>Распределение!B98</f>
        <v>0</v>
      </c>
      <c r="B108" s="581">
        <f>Распределение!L98</f>
        <v>0</v>
      </c>
      <c r="C108" s="582" t="str">
        <f>'Состав ВТК'!$H94</f>
        <v>-</v>
      </c>
      <c r="D108" s="582" t="str">
        <f>'Состав ВТК'!$I94</f>
        <v>-</v>
      </c>
      <c r="E108" s="582">
        <f>Распределение!M98</f>
        <v>0</v>
      </c>
      <c r="F108" s="582">
        <f>Выплаты!J99</f>
        <v>0</v>
      </c>
      <c r="G108" s="583"/>
      <c r="H108" s="582">
        <f t="shared" si="12"/>
        <v>0</v>
      </c>
      <c r="I108" s="582">
        <f>Выплаты!O99</f>
        <v>0</v>
      </c>
      <c r="J108" s="583"/>
      <c r="K108" s="582">
        <f t="shared" si="13"/>
        <v>0</v>
      </c>
      <c r="L108" s="500">
        <f>Выплаты!T99</f>
        <v>0</v>
      </c>
      <c r="M108" s="592"/>
      <c r="N108" s="500">
        <f t="shared" si="14"/>
        <v>0</v>
      </c>
      <c r="O108" s="860"/>
      <c r="P108" s="860"/>
      <c r="Q108" s="860"/>
    </row>
    <row r="109" spans="1:17" s="631" customFormat="1" hidden="1" outlineLevel="1" x14ac:dyDescent="0.3">
      <c r="A109" s="581">
        <f>Распределение!B99</f>
        <v>0</v>
      </c>
      <c r="B109" s="581">
        <f>Распределение!L99</f>
        <v>0</v>
      </c>
      <c r="C109" s="582" t="str">
        <f>'Состав ВТК'!$H95</f>
        <v>-</v>
      </c>
      <c r="D109" s="582" t="str">
        <f>'Состав ВТК'!$I95</f>
        <v>-</v>
      </c>
      <c r="E109" s="582">
        <f>Распределение!M99</f>
        <v>0</v>
      </c>
      <c r="F109" s="582">
        <f>Выплаты!J100</f>
        <v>0</v>
      </c>
      <c r="G109" s="583"/>
      <c r="H109" s="582">
        <f t="shared" si="12"/>
        <v>0</v>
      </c>
      <c r="I109" s="582">
        <f>Выплаты!O100</f>
        <v>0</v>
      </c>
      <c r="J109" s="583"/>
      <c r="K109" s="582">
        <f t="shared" si="13"/>
        <v>0</v>
      </c>
      <c r="L109" s="500">
        <f>Выплаты!T100</f>
        <v>0</v>
      </c>
      <c r="M109" s="592"/>
      <c r="N109" s="500">
        <f t="shared" si="14"/>
        <v>0</v>
      </c>
      <c r="O109" s="860"/>
      <c r="P109" s="860"/>
      <c r="Q109" s="860"/>
    </row>
    <row r="110" spans="1:17" s="631" customFormat="1" hidden="1" outlineLevel="1" x14ac:dyDescent="0.3">
      <c r="A110" s="581">
        <f>Распределение!B100</f>
        <v>0</v>
      </c>
      <c r="B110" s="581">
        <f>Распределение!L100</f>
        <v>0</v>
      </c>
      <c r="C110" s="582" t="str">
        <f>'Состав ВТК'!$H96</f>
        <v>-</v>
      </c>
      <c r="D110" s="582" t="str">
        <f>'Состав ВТК'!$I96</f>
        <v>-</v>
      </c>
      <c r="E110" s="582">
        <f>Распределение!M100</f>
        <v>0</v>
      </c>
      <c r="F110" s="582">
        <f>Выплаты!J101</f>
        <v>0</v>
      </c>
      <c r="G110" s="583"/>
      <c r="H110" s="582">
        <f t="shared" si="12"/>
        <v>0</v>
      </c>
      <c r="I110" s="582">
        <f>Выплаты!O101</f>
        <v>0</v>
      </c>
      <c r="J110" s="583"/>
      <c r="K110" s="582">
        <f t="shared" si="13"/>
        <v>0</v>
      </c>
      <c r="L110" s="500">
        <f>Выплаты!T101</f>
        <v>0</v>
      </c>
      <c r="M110" s="592"/>
      <c r="N110" s="500">
        <f t="shared" si="14"/>
        <v>0</v>
      </c>
      <c r="O110" s="860"/>
      <c r="P110" s="860"/>
      <c r="Q110" s="860"/>
    </row>
    <row r="111" spans="1:17" s="631" customFormat="1" hidden="1" outlineLevel="1" x14ac:dyDescent="0.3">
      <c r="A111" s="581">
        <f>Распределение!B101</f>
        <v>0</v>
      </c>
      <c r="B111" s="581">
        <f>Распределение!L101</f>
        <v>0</v>
      </c>
      <c r="C111" s="582" t="str">
        <f>'Состав ВТК'!$H97</f>
        <v>-</v>
      </c>
      <c r="D111" s="582" t="str">
        <f>'Состав ВТК'!$I97</f>
        <v>-</v>
      </c>
      <c r="E111" s="582">
        <f>Распределение!M101</f>
        <v>0</v>
      </c>
      <c r="F111" s="582">
        <f>Выплаты!J102</f>
        <v>0</v>
      </c>
      <c r="G111" s="583"/>
      <c r="H111" s="582">
        <f t="shared" si="12"/>
        <v>0</v>
      </c>
      <c r="I111" s="582">
        <f>Выплаты!O102</f>
        <v>0</v>
      </c>
      <c r="J111" s="583"/>
      <c r="K111" s="582">
        <f t="shared" si="13"/>
        <v>0</v>
      </c>
      <c r="L111" s="500">
        <f>Выплаты!T102</f>
        <v>0</v>
      </c>
      <c r="M111" s="592"/>
      <c r="N111" s="500">
        <f t="shared" si="14"/>
        <v>0</v>
      </c>
      <c r="O111" s="860"/>
      <c r="P111" s="860"/>
      <c r="Q111" s="860"/>
    </row>
    <row r="112" spans="1:17" s="631" customFormat="1" hidden="1" outlineLevel="1" x14ac:dyDescent="0.3">
      <c r="A112" s="581">
        <f>Распределение!B102</f>
        <v>0</v>
      </c>
      <c r="B112" s="581">
        <f>Распределение!L102</f>
        <v>0</v>
      </c>
      <c r="C112" s="582" t="str">
        <f>'Состав ВТК'!$H98</f>
        <v>-</v>
      </c>
      <c r="D112" s="582" t="str">
        <f>'Состав ВТК'!$I98</f>
        <v>-</v>
      </c>
      <c r="E112" s="582">
        <f>Распределение!M102</f>
        <v>0</v>
      </c>
      <c r="F112" s="582">
        <f>Выплаты!J103</f>
        <v>0</v>
      </c>
      <c r="G112" s="583"/>
      <c r="H112" s="582">
        <f t="shared" si="12"/>
        <v>0</v>
      </c>
      <c r="I112" s="582">
        <f>Выплаты!O103</f>
        <v>0</v>
      </c>
      <c r="J112" s="583"/>
      <c r="K112" s="582">
        <f t="shared" si="13"/>
        <v>0</v>
      </c>
      <c r="L112" s="500">
        <f>Выплаты!T103</f>
        <v>0</v>
      </c>
      <c r="M112" s="592"/>
      <c r="N112" s="500">
        <f t="shared" si="14"/>
        <v>0</v>
      </c>
      <c r="O112" s="860"/>
      <c r="P112" s="860"/>
      <c r="Q112" s="860"/>
    </row>
    <row r="113" spans="1:17" s="631" customFormat="1" hidden="1" outlineLevel="1" x14ac:dyDescent="0.3">
      <c r="A113" s="581">
        <f>Распределение!B103</f>
        <v>0</v>
      </c>
      <c r="B113" s="581">
        <f>Распределение!L103</f>
        <v>0</v>
      </c>
      <c r="C113" s="582" t="str">
        <f>'Состав ВТК'!$H99</f>
        <v>-</v>
      </c>
      <c r="D113" s="582" t="str">
        <f>'Состав ВТК'!$I99</f>
        <v>-</v>
      </c>
      <c r="E113" s="582">
        <f>Распределение!M103</f>
        <v>0</v>
      </c>
      <c r="F113" s="582">
        <f>Выплаты!J104</f>
        <v>0</v>
      </c>
      <c r="G113" s="583"/>
      <c r="H113" s="582">
        <f t="shared" si="12"/>
        <v>0</v>
      </c>
      <c r="I113" s="582">
        <f>Выплаты!O104</f>
        <v>0</v>
      </c>
      <c r="J113" s="583"/>
      <c r="K113" s="582">
        <f t="shared" si="13"/>
        <v>0</v>
      </c>
      <c r="L113" s="500">
        <f>Выплаты!T104</f>
        <v>0</v>
      </c>
      <c r="M113" s="592"/>
      <c r="N113" s="500">
        <f t="shared" si="14"/>
        <v>0</v>
      </c>
      <c r="O113" s="860"/>
      <c r="P113" s="860"/>
      <c r="Q113" s="860"/>
    </row>
    <row r="114" spans="1:17" s="631" customFormat="1" hidden="1" outlineLevel="1" x14ac:dyDescent="0.3">
      <c r="A114" s="581">
        <f>Распределение!B104</f>
        <v>0</v>
      </c>
      <c r="B114" s="581">
        <f>Распределение!L104</f>
        <v>0</v>
      </c>
      <c r="C114" s="582" t="str">
        <f>'Состав ВТК'!$H100</f>
        <v>-</v>
      </c>
      <c r="D114" s="582" t="str">
        <f>'Состав ВТК'!$I100</f>
        <v>-</v>
      </c>
      <c r="E114" s="582">
        <f>Распределение!M104</f>
        <v>0</v>
      </c>
      <c r="F114" s="582">
        <f>Выплаты!J105</f>
        <v>0</v>
      </c>
      <c r="G114" s="583"/>
      <c r="H114" s="582">
        <f t="shared" si="12"/>
        <v>0</v>
      </c>
      <c r="I114" s="582">
        <f>Выплаты!O105</f>
        <v>0</v>
      </c>
      <c r="J114" s="583"/>
      <c r="K114" s="582">
        <f t="shared" si="13"/>
        <v>0</v>
      </c>
      <c r="L114" s="500">
        <f>Выплаты!T105</f>
        <v>0</v>
      </c>
      <c r="M114" s="592"/>
      <c r="N114" s="500">
        <f t="shared" si="14"/>
        <v>0</v>
      </c>
      <c r="O114" s="860"/>
      <c r="P114" s="860"/>
      <c r="Q114" s="860"/>
    </row>
    <row r="115" spans="1:17" s="631" customFormat="1" hidden="1" outlineLevel="1" x14ac:dyDescent="0.3">
      <c r="A115" s="581">
        <f>Распределение!B105</f>
        <v>0</v>
      </c>
      <c r="B115" s="581">
        <f>Распределение!L105</f>
        <v>0</v>
      </c>
      <c r="C115" s="582" t="str">
        <f>'Состав ВТК'!$H101</f>
        <v>-</v>
      </c>
      <c r="D115" s="582" t="str">
        <f>'Состав ВТК'!$I101</f>
        <v>-</v>
      </c>
      <c r="E115" s="582">
        <f>Распределение!M105</f>
        <v>0</v>
      </c>
      <c r="F115" s="582">
        <f>Выплаты!J106</f>
        <v>0</v>
      </c>
      <c r="G115" s="583"/>
      <c r="H115" s="582">
        <f t="shared" si="12"/>
        <v>0</v>
      </c>
      <c r="I115" s="582">
        <f>Выплаты!O106</f>
        <v>0</v>
      </c>
      <c r="J115" s="583"/>
      <c r="K115" s="582">
        <f t="shared" si="13"/>
        <v>0</v>
      </c>
      <c r="L115" s="500">
        <f>Выплаты!T106</f>
        <v>0</v>
      </c>
      <c r="M115" s="592"/>
      <c r="N115" s="500">
        <f t="shared" si="14"/>
        <v>0</v>
      </c>
      <c r="O115" s="860"/>
      <c r="P115" s="860"/>
      <c r="Q115" s="860"/>
    </row>
    <row r="116" spans="1:17" s="631" customFormat="1" hidden="1" outlineLevel="1" x14ac:dyDescent="0.3">
      <c r="A116" s="581">
        <f>Распределение!B106</f>
        <v>0</v>
      </c>
      <c r="B116" s="581">
        <f>Распределение!L106</f>
        <v>0</v>
      </c>
      <c r="C116" s="582" t="str">
        <f>'Состав ВТК'!$H102</f>
        <v>-</v>
      </c>
      <c r="D116" s="582" t="str">
        <f>'Состав ВТК'!$I102</f>
        <v>-</v>
      </c>
      <c r="E116" s="582">
        <f>Распределение!M106</f>
        <v>0</v>
      </c>
      <c r="F116" s="582">
        <f>Выплаты!J107</f>
        <v>0</v>
      </c>
      <c r="G116" s="583"/>
      <c r="H116" s="582">
        <f t="shared" si="12"/>
        <v>0</v>
      </c>
      <c r="I116" s="582">
        <f>Выплаты!O107</f>
        <v>0</v>
      </c>
      <c r="J116" s="583"/>
      <c r="K116" s="582">
        <f t="shared" si="13"/>
        <v>0</v>
      </c>
      <c r="L116" s="500">
        <f>Выплаты!T107</f>
        <v>0</v>
      </c>
      <c r="M116" s="592"/>
      <c r="N116" s="500">
        <f t="shared" si="14"/>
        <v>0</v>
      </c>
      <c r="O116" s="860"/>
      <c r="P116" s="860"/>
      <c r="Q116" s="860"/>
    </row>
    <row r="117" spans="1:17" s="631" customFormat="1" hidden="1" outlineLevel="1" x14ac:dyDescent="0.3">
      <c r="A117" s="581">
        <f>Распределение!B107</f>
        <v>0</v>
      </c>
      <c r="B117" s="581">
        <f>Распределение!L107</f>
        <v>0</v>
      </c>
      <c r="C117" s="582" t="str">
        <f>'Состав ВТК'!$H103</f>
        <v>-</v>
      </c>
      <c r="D117" s="582" t="str">
        <f>'Состав ВТК'!$I103</f>
        <v>-</v>
      </c>
      <c r="E117" s="582">
        <f>Распределение!M107</f>
        <v>0</v>
      </c>
      <c r="F117" s="582">
        <f>Выплаты!J108</f>
        <v>0</v>
      </c>
      <c r="G117" s="583"/>
      <c r="H117" s="582">
        <f t="shared" si="12"/>
        <v>0</v>
      </c>
      <c r="I117" s="582">
        <f>Выплаты!O108</f>
        <v>0</v>
      </c>
      <c r="J117" s="583"/>
      <c r="K117" s="582">
        <f t="shared" si="13"/>
        <v>0</v>
      </c>
      <c r="L117" s="500">
        <f>Выплаты!T108</f>
        <v>0</v>
      </c>
      <c r="M117" s="592"/>
      <c r="N117" s="500">
        <f t="shared" si="14"/>
        <v>0</v>
      </c>
      <c r="O117" s="860"/>
      <c r="P117" s="860"/>
      <c r="Q117" s="860"/>
    </row>
    <row r="118" spans="1:17" s="631" customFormat="1" hidden="1" outlineLevel="1" x14ac:dyDescent="0.3">
      <c r="A118" s="581">
        <f>Распределение!B108</f>
        <v>0</v>
      </c>
      <c r="B118" s="581">
        <f>Распределение!L108</f>
        <v>0</v>
      </c>
      <c r="C118" s="582" t="str">
        <f>'Состав ВТК'!$H104</f>
        <v>-</v>
      </c>
      <c r="D118" s="582" t="str">
        <f>'Состав ВТК'!$I104</f>
        <v>-</v>
      </c>
      <c r="E118" s="582">
        <f>Распределение!M108</f>
        <v>0</v>
      </c>
      <c r="F118" s="582">
        <f>Выплаты!J109</f>
        <v>0</v>
      </c>
      <c r="G118" s="583"/>
      <c r="H118" s="582">
        <f t="shared" si="12"/>
        <v>0</v>
      </c>
      <c r="I118" s="582">
        <f>Выплаты!O109</f>
        <v>0</v>
      </c>
      <c r="J118" s="583"/>
      <c r="K118" s="582">
        <f t="shared" si="13"/>
        <v>0</v>
      </c>
      <c r="L118" s="500">
        <f>Выплаты!T109</f>
        <v>0</v>
      </c>
      <c r="M118" s="592"/>
      <c r="N118" s="500">
        <f t="shared" si="14"/>
        <v>0</v>
      </c>
      <c r="O118" s="860"/>
      <c r="P118" s="860"/>
      <c r="Q118" s="860"/>
    </row>
    <row r="119" spans="1:17" s="631" customFormat="1" hidden="1" outlineLevel="1" x14ac:dyDescent="0.3">
      <c r="A119" s="581">
        <f>Распределение!B109</f>
        <v>0</v>
      </c>
      <c r="B119" s="581">
        <f>Распределение!L109</f>
        <v>0</v>
      </c>
      <c r="C119" s="582" t="str">
        <f>'Состав ВТК'!$H105</f>
        <v>-</v>
      </c>
      <c r="D119" s="582" t="str">
        <f>'Состав ВТК'!$I105</f>
        <v>-</v>
      </c>
      <c r="E119" s="582">
        <f>Распределение!M109</f>
        <v>0</v>
      </c>
      <c r="F119" s="582">
        <f>Выплаты!J110</f>
        <v>0</v>
      </c>
      <c r="G119" s="583"/>
      <c r="H119" s="582">
        <f t="shared" si="12"/>
        <v>0</v>
      </c>
      <c r="I119" s="582">
        <f>Выплаты!O110</f>
        <v>0</v>
      </c>
      <c r="J119" s="583"/>
      <c r="K119" s="582">
        <f t="shared" si="13"/>
        <v>0</v>
      </c>
      <c r="L119" s="500">
        <f>Выплаты!T110</f>
        <v>0</v>
      </c>
      <c r="M119" s="592"/>
      <c r="N119" s="500">
        <f t="shared" si="14"/>
        <v>0</v>
      </c>
      <c r="O119" s="860"/>
      <c r="P119" s="860"/>
      <c r="Q119" s="860"/>
    </row>
    <row r="120" spans="1:17" s="631" customFormat="1" hidden="1" outlineLevel="1" x14ac:dyDescent="0.3">
      <c r="A120" s="581">
        <f>Распределение!B110</f>
        <v>0</v>
      </c>
      <c r="B120" s="581">
        <f>Распределение!L110</f>
        <v>0</v>
      </c>
      <c r="C120" s="582" t="str">
        <f>'Состав ВТК'!$H106</f>
        <v>-</v>
      </c>
      <c r="D120" s="582" t="str">
        <f>'Состав ВТК'!$I106</f>
        <v>-</v>
      </c>
      <c r="E120" s="582">
        <f>Распределение!M110</f>
        <v>0</v>
      </c>
      <c r="F120" s="582">
        <f>Выплаты!J111</f>
        <v>0</v>
      </c>
      <c r="G120" s="583"/>
      <c r="H120" s="582">
        <f t="shared" ref="H120:H122" si="15">F120+G120</f>
        <v>0</v>
      </c>
      <c r="I120" s="582">
        <f>Выплаты!O111</f>
        <v>0</v>
      </c>
      <c r="J120" s="583"/>
      <c r="K120" s="582">
        <f t="shared" ref="K120:K122" si="16">I120+J120</f>
        <v>0</v>
      </c>
      <c r="L120" s="500">
        <f>Выплаты!T111</f>
        <v>0</v>
      </c>
      <c r="M120" s="592"/>
      <c r="N120" s="500">
        <f t="shared" ref="N120:N122" si="17">L120+M120</f>
        <v>0</v>
      </c>
      <c r="O120" s="860"/>
      <c r="P120" s="860"/>
      <c r="Q120" s="860"/>
    </row>
    <row r="121" spans="1:17" s="631" customFormat="1" hidden="1" outlineLevel="1" x14ac:dyDescent="0.3">
      <c r="A121" s="581">
        <f>Распределение!B111</f>
        <v>0</v>
      </c>
      <c r="B121" s="581">
        <f>Распределение!L111</f>
        <v>0</v>
      </c>
      <c r="C121" s="582" t="str">
        <f>'Состав ВТК'!$H107</f>
        <v>-</v>
      </c>
      <c r="D121" s="582" t="str">
        <f>'Состав ВТК'!$I107</f>
        <v>-</v>
      </c>
      <c r="E121" s="582">
        <f>Распределение!M111</f>
        <v>0</v>
      </c>
      <c r="F121" s="582">
        <f>Выплаты!J112</f>
        <v>0</v>
      </c>
      <c r="G121" s="583"/>
      <c r="H121" s="582">
        <f t="shared" si="15"/>
        <v>0</v>
      </c>
      <c r="I121" s="582">
        <f>Выплаты!O112</f>
        <v>0</v>
      </c>
      <c r="J121" s="583"/>
      <c r="K121" s="582">
        <f t="shared" si="16"/>
        <v>0</v>
      </c>
      <c r="L121" s="500">
        <f>Выплаты!T112</f>
        <v>0</v>
      </c>
      <c r="M121" s="592"/>
      <c r="N121" s="500">
        <f t="shared" si="17"/>
        <v>0</v>
      </c>
      <c r="O121" s="860"/>
      <c r="P121" s="860"/>
      <c r="Q121" s="860"/>
    </row>
    <row r="122" spans="1:17" s="631" customFormat="1" hidden="1" x14ac:dyDescent="0.3">
      <c r="A122" s="581">
        <f>Распределение!B112</f>
        <v>0</v>
      </c>
      <c r="B122" s="581">
        <f>Распределение!L112</f>
        <v>0</v>
      </c>
      <c r="C122" s="582" t="str">
        <f>'Состав ВТК'!$H108</f>
        <v>-</v>
      </c>
      <c r="D122" s="582" t="str">
        <f>'Состав ВТК'!$I108</f>
        <v>-</v>
      </c>
      <c r="E122" s="582">
        <f>Распределение!M112</f>
        <v>0</v>
      </c>
      <c r="F122" s="582">
        <f>Выплаты!J113</f>
        <v>0</v>
      </c>
      <c r="G122" s="583"/>
      <c r="H122" s="582">
        <f t="shared" si="15"/>
        <v>0</v>
      </c>
      <c r="I122" s="582">
        <f>Выплаты!O113</f>
        <v>0</v>
      </c>
      <c r="J122" s="583"/>
      <c r="K122" s="582">
        <f t="shared" si="16"/>
        <v>0</v>
      </c>
      <c r="L122" s="500">
        <f>Выплаты!T113</f>
        <v>0</v>
      </c>
      <c r="M122" s="592"/>
      <c r="N122" s="500">
        <f t="shared" si="17"/>
        <v>0</v>
      </c>
      <c r="O122" s="860"/>
      <c r="P122" s="860"/>
      <c r="Q122" s="860"/>
    </row>
    <row r="123" spans="1:17" x14ac:dyDescent="0.3">
      <c r="A123" s="628"/>
      <c r="B123" s="627"/>
      <c r="C123" s="632"/>
      <c r="D123" s="632"/>
      <c r="E123" s="627"/>
      <c r="F123" s="627"/>
      <c r="G123" s="483"/>
      <c r="H123" s="627"/>
      <c r="I123" s="627"/>
      <c r="J123" s="483"/>
      <c r="K123" s="627"/>
      <c r="L123" s="627"/>
      <c r="M123" s="483"/>
      <c r="N123" s="627"/>
      <c r="O123" s="861"/>
      <c r="P123" s="861"/>
      <c r="Q123" s="861"/>
    </row>
    <row r="126" spans="1:17" ht="20.25" x14ac:dyDescent="0.3">
      <c r="B126" s="501" t="s">
        <v>274</v>
      </c>
      <c r="E126" s="842" t="str">
        <f>IFERROR(INDEX('Состав ВТК'!$1:$1048576,MATCH($B$126,'Состав ВТК'!J:J,0),MATCH($E$127,'Состав ВТК'!7:7,0)),"---")</f>
        <v>---</v>
      </c>
      <c r="F126" s="842"/>
      <c r="G126" s="842"/>
      <c r="H126" s="490"/>
      <c r="I126" s="490"/>
      <c r="J126" s="490"/>
      <c r="K126" s="490"/>
      <c r="L126" s="490"/>
      <c r="M126" s="490"/>
      <c r="N126" s="490"/>
      <c r="O126" s="490"/>
      <c r="P126" s="490"/>
    </row>
    <row r="127" spans="1:17" x14ac:dyDescent="0.3">
      <c r="B127" s="502"/>
      <c r="E127" s="808" t="s">
        <v>2</v>
      </c>
      <c r="F127" s="808"/>
      <c r="G127" s="808"/>
      <c r="H127" s="584"/>
      <c r="I127" s="584"/>
      <c r="J127" s="584"/>
      <c r="K127" s="584"/>
      <c r="L127" s="584"/>
      <c r="M127" s="584"/>
      <c r="N127" s="584"/>
      <c r="O127" s="584"/>
      <c r="P127" s="584"/>
    </row>
    <row r="128" spans="1:17" x14ac:dyDescent="0.3">
      <c r="B128" s="502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</row>
    <row r="129" spans="1:16" ht="20.25" x14ac:dyDescent="0.3">
      <c r="B129" s="501" t="s">
        <v>191</v>
      </c>
      <c r="E129" s="842" t="str">
        <f>Титул!$B$10</f>
        <v>-</v>
      </c>
      <c r="F129" s="842"/>
      <c r="G129" s="842"/>
      <c r="H129" s="490"/>
      <c r="I129" s="490"/>
      <c r="J129" s="490"/>
      <c r="K129" s="490"/>
      <c r="L129" s="490"/>
      <c r="M129" s="490"/>
      <c r="N129" s="490"/>
      <c r="O129" s="490"/>
      <c r="P129" s="490"/>
    </row>
    <row r="130" spans="1:16" x14ac:dyDescent="0.3">
      <c r="B130" s="491"/>
      <c r="C130" s="491"/>
      <c r="D130" s="491"/>
      <c r="E130" s="808" t="s">
        <v>2</v>
      </c>
      <c r="F130" s="808"/>
      <c r="G130" s="808"/>
      <c r="H130" s="584"/>
      <c r="I130" s="584"/>
      <c r="J130" s="584"/>
      <c r="K130" s="584"/>
      <c r="L130" s="584"/>
      <c r="M130" s="584"/>
      <c r="N130" s="584"/>
      <c r="O130" s="584"/>
      <c r="P130" s="584"/>
    </row>
    <row r="131" spans="1:16" x14ac:dyDescent="0.3">
      <c r="A131" s="886" t="s">
        <v>415</v>
      </c>
      <c r="B131" s="886"/>
    </row>
    <row r="132" spans="1:16" ht="55.5" customHeight="1" x14ac:dyDescent="0.3">
      <c r="A132" s="885" t="s">
        <v>517</v>
      </c>
      <c r="B132" s="885"/>
      <c r="E132" s="887"/>
      <c r="F132" s="887"/>
      <c r="G132" s="887"/>
    </row>
    <row r="133" spans="1:16" x14ac:dyDescent="0.3">
      <c r="E133" s="808" t="s">
        <v>2</v>
      </c>
      <c r="F133" s="808"/>
      <c r="G133" s="808"/>
    </row>
  </sheetData>
  <sheetProtection password="CF98" sheet="1" formatCells="0" formatColumns="0" formatRows="0" sort="0" autoFilter="0" pivotTables="0"/>
  <mergeCells count="144">
    <mergeCell ref="O89:Q89"/>
    <mergeCell ref="O90:Q90"/>
    <mergeCell ref="O91:Q91"/>
    <mergeCell ref="O92:Q92"/>
    <mergeCell ref="O93:Q93"/>
    <mergeCell ref="E133:G133"/>
    <mergeCell ref="A132:B132"/>
    <mergeCell ref="A131:B131"/>
    <mergeCell ref="E132:G132"/>
    <mergeCell ref="O98:Q98"/>
    <mergeCell ref="O99:Q99"/>
    <mergeCell ref="O100:Q100"/>
    <mergeCell ref="O101:Q101"/>
    <mergeCell ref="O102:Q102"/>
    <mergeCell ref="O103:Q103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O23:Q23"/>
    <mergeCell ref="O24:Q24"/>
    <mergeCell ref="O25:Q25"/>
    <mergeCell ref="O88:Q88"/>
    <mergeCell ref="O27:Q27"/>
    <mergeCell ref="O28:Q28"/>
    <mergeCell ref="O29:Q29"/>
    <mergeCell ref="O30:Q30"/>
    <mergeCell ref="O31:Q31"/>
    <mergeCell ref="O32:Q32"/>
    <mergeCell ref="O33:Q33"/>
    <mergeCell ref="O34:Q34"/>
    <mergeCell ref="O85:Q85"/>
    <mergeCell ref="O86:Q86"/>
    <mergeCell ref="O87:Q87"/>
    <mergeCell ref="O35:Q35"/>
    <mergeCell ref="O36:Q36"/>
    <mergeCell ref="O39:Q39"/>
    <mergeCell ref="O40:Q40"/>
    <mergeCell ref="O49:Q49"/>
    <mergeCell ref="O50:Q50"/>
    <mergeCell ref="O41:Q41"/>
    <mergeCell ref="O42:Q42"/>
    <mergeCell ref="O43:Q43"/>
    <mergeCell ref="A2:Q2"/>
    <mergeCell ref="B4:Q4"/>
    <mergeCell ref="B5:Q5"/>
    <mergeCell ref="B6:Q6"/>
    <mergeCell ref="B7:Q7"/>
    <mergeCell ref="L10:L11"/>
    <mergeCell ref="A21:D21"/>
    <mergeCell ref="O21:Q21"/>
    <mergeCell ref="A15:E15"/>
    <mergeCell ref="A16:E16"/>
    <mergeCell ref="A17:E17"/>
    <mergeCell ref="A19:A20"/>
    <mergeCell ref="B19:B20"/>
    <mergeCell ref="C19:C20"/>
    <mergeCell ref="D19:D20"/>
    <mergeCell ref="E19:E20"/>
    <mergeCell ref="F19:H19"/>
    <mergeCell ref="I19:K19"/>
    <mergeCell ref="L19:N19"/>
    <mergeCell ref="O19:Q19"/>
    <mergeCell ref="O20:Q20"/>
    <mergeCell ref="O113:Q113"/>
    <mergeCell ref="O114:Q114"/>
    <mergeCell ref="B8:Q8"/>
    <mergeCell ref="O94:Q94"/>
    <mergeCell ref="O95:Q95"/>
    <mergeCell ref="O96:Q96"/>
    <mergeCell ref="O97:Q97"/>
    <mergeCell ref="A14:E14"/>
    <mergeCell ref="A10:E11"/>
    <mergeCell ref="F10:F11"/>
    <mergeCell ref="G10:H10"/>
    <mergeCell ref="I10:I11"/>
    <mergeCell ref="M10:N10"/>
    <mergeCell ref="O10:O11"/>
    <mergeCell ref="P10:Q10"/>
    <mergeCell ref="A12:E12"/>
    <mergeCell ref="A13:E13"/>
    <mergeCell ref="J10:K10"/>
    <mergeCell ref="O26:Q26"/>
    <mergeCell ref="A22:E22"/>
    <mergeCell ref="O22:Q22"/>
    <mergeCell ref="O46:Q46"/>
    <mergeCell ref="O47:Q47"/>
    <mergeCell ref="O48:Q48"/>
    <mergeCell ref="O120:Q120"/>
    <mergeCell ref="E129:G129"/>
    <mergeCell ref="E130:G130"/>
    <mergeCell ref="O121:Q121"/>
    <mergeCell ref="O122:Q122"/>
    <mergeCell ref="O123:Q123"/>
    <mergeCell ref="E126:G126"/>
    <mergeCell ref="E127:G127"/>
    <mergeCell ref="O115:Q115"/>
    <mergeCell ref="O116:Q116"/>
    <mergeCell ref="O117:Q117"/>
    <mergeCell ref="O118:Q118"/>
    <mergeCell ref="O119:Q119"/>
    <mergeCell ref="O44:Q44"/>
    <mergeCell ref="O45:Q45"/>
    <mergeCell ref="O64:Q64"/>
    <mergeCell ref="O65:Q65"/>
    <mergeCell ref="O56:Q56"/>
    <mergeCell ref="O57:Q57"/>
    <mergeCell ref="O58:Q58"/>
    <mergeCell ref="O59:Q59"/>
    <mergeCell ref="O60:Q60"/>
    <mergeCell ref="O51:Q51"/>
    <mergeCell ref="O52:Q52"/>
    <mergeCell ref="O53:Q53"/>
    <mergeCell ref="O54:Q54"/>
    <mergeCell ref="O55:Q55"/>
    <mergeCell ref="O81:Q81"/>
    <mergeCell ref="O82:Q82"/>
    <mergeCell ref="O83:Q83"/>
    <mergeCell ref="O84:Q84"/>
    <mergeCell ref="O37:Q37"/>
    <mergeCell ref="O38:Q38"/>
    <mergeCell ref="O76:Q76"/>
    <mergeCell ref="O77:Q77"/>
    <mergeCell ref="O78:Q78"/>
    <mergeCell ref="O79:Q79"/>
    <mergeCell ref="O80:Q80"/>
    <mergeCell ref="O71:Q71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61:Q61"/>
    <mergeCell ref="O62:Q62"/>
    <mergeCell ref="O63:Q63"/>
  </mergeCells>
  <conditionalFormatting sqref="G21">
    <cfRule type="cellIs" dxfId="116" priority="8" operator="greaterThan">
      <formula>$G$22</formula>
    </cfRule>
  </conditionalFormatting>
  <conditionalFormatting sqref="J21">
    <cfRule type="cellIs" dxfId="115" priority="7" operator="greaterThan">
      <formula>$J$22</formula>
    </cfRule>
  </conditionalFormatting>
  <conditionalFormatting sqref="M21">
    <cfRule type="cellIs" dxfId="114" priority="6" operator="greaterThan">
      <formula>$M$22</formula>
    </cfRule>
  </conditionalFormatting>
  <conditionalFormatting sqref="O21">
    <cfRule type="cellIs" dxfId="113" priority="5" operator="greaterThan">
      <formula>$O$22</formula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4791B3DD-C0B6-42D2-A43B-5ED9DCF85654}">
            <xm:f>Выплаты!$G14*2</xm:f>
            <x14:dxf>
              <fill>
                <patternFill>
                  <bgColor theme="4"/>
                </patternFill>
              </fill>
            </x14:dxf>
          </x14:cfRule>
          <xm:sqref>G23:G122</xm:sqref>
        </x14:conditionalFormatting>
        <x14:conditionalFormatting xmlns:xm="http://schemas.microsoft.com/office/excel/2006/main">
          <x14:cfRule type="cellIs" priority="3" operator="greaterThan" id="{C79B6BA7-3056-4425-A66A-4C1949D8DB68}">
            <xm:f>Выплаты!$L14*2</xm:f>
            <x14:dxf>
              <fill>
                <patternFill>
                  <bgColor theme="4"/>
                </patternFill>
              </fill>
            </x14:dxf>
          </x14:cfRule>
          <xm:sqref>J23:J122</xm:sqref>
        </x14:conditionalFormatting>
        <x14:conditionalFormatting xmlns:xm="http://schemas.microsoft.com/office/excel/2006/main">
          <x14:cfRule type="cellIs" priority="2" operator="greaterThan" id="{120D63F7-17B3-4C12-9D72-B38B3820865F}">
            <xm:f>Выплаты!$Q14*2</xm:f>
            <x14:dxf>
              <fill>
                <patternFill>
                  <bgColor theme="4"/>
                </patternFill>
              </fill>
            </x14:dxf>
          </x14:cfRule>
          <xm:sqref>M23:M122</xm:sqref>
        </x14:conditionalFormatting>
        <x14:conditionalFormatting xmlns:xm="http://schemas.microsoft.com/office/excel/2006/main">
          <x14:cfRule type="cellIs" priority="1" operator="greaterThan" id="{2165F438-508A-419A-9ADB-081743D9C20C}">
            <xm:f>Выплаты!$V14*3</xm:f>
            <x14:dxf>
              <fill>
                <patternFill>
                  <bgColor theme="4"/>
                </patternFill>
              </fill>
            </x14:dxf>
          </x14:cfRule>
          <xm:sqref>O23:Q122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62D0"/>
    <pageSetUpPr fitToPage="1"/>
  </sheetPr>
  <dimension ref="A2:G123"/>
  <sheetViews>
    <sheetView view="pageBreakPreview" topLeftCell="A10" zoomScale="55" zoomScaleNormal="70" zoomScaleSheetLayoutView="55" workbookViewId="0">
      <selection activeCell="D16" sqref="D16"/>
    </sheetView>
  </sheetViews>
  <sheetFormatPr defaultColWidth="49.42578125" defaultRowHeight="18.75" outlineLevelRow="1" x14ac:dyDescent="0.3"/>
  <cols>
    <col min="1" max="1" width="7.5703125" style="229" customWidth="1"/>
    <col min="2" max="2" width="54.42578125" style="229" customWidth="1"/>
    <col min="3" max="3" width="49.42578125" style="229"/>
    <col min="4" max="4" width="23" style="24" customWidth="1"/>
    <col min="5" max="5" width="27.42578125" style="24" customWidth="1"/>
    <col min="6" max="16384" width="49.42578125" style="229"/>
  </cols>
  <sheetData>
    <row r="2" spans="1:7" ht="87" customHeight="1" x14ac:dyDescent="0.3">
      <c r="A2" s="872" t="str">
        <f>CONCATENATE("Предложение о премировании работников Финансового университета, участвующих в выполнении фундаментальных и прикладных 
научно-исследовательских работ за ",$C$9)</f>
        <v>Предложение о премировании работников Финансового университета, участвующих в выполнении фундаментальных и прикладных 
научно-исследовательских работ за 1 квартал</v>
      </c>
      <c r="B2" s="872"/>
      <c r="C2" s="872"/>
      <c r="D2" s="872"/>
      <c r="E2" s="872"/>
    </row>
    <row r="4" spans="1:7" ht="27" customHeight="1" x14ac:dyDescent="0.3">
      <c r="A4" s="889" t="str">
        <f>Титул!A5</f>
        <v>Номер_темы</v>
      </c>
      <c r="B4" s="889"/>
      <c r="C4" s="862">
        <f>Титул!B5</f>
        <v>0</v>
      </c>
      <c r="D4" s="862"/>
      <c r="E4" s="862"/>
    </row>
    <row r="5" spans="1:7" ht="60.75" customHeight="1" x14ac:dyDescent="0.3">
      <c r="A5" s="889" t="str">
        <f>Титул!A6</f>
        <v>Наименование_темы</v>
      </c>
      <c r="B5" s="889"/>
      <c r="C5" s="862" t="str">
        <f>Титул!B6</f>
        <v>-</v>
      </c>
      <c r="D5" s="862"/>
      <c r="E5" s="862"/>
    </row>
    <row r="6" spans="1:7" ht="37.5" customHeight="1" x14ac:dyDescent="0.3">
      <c r="A6" s="889" t="str">
        <f>Титул!A7</f>
        <v>Вид_научного_исследования</v>
      </c>
      <c r="B6" s="889"/>
      <c r="C6" s="862" t="str">
        <f>Титул!B7</f>
        <v>-</v>
      </c>
      <c r="D6" s="862"/>
      <c r="E6" s="862"/>
    </row>
    <row r="7" spans="1:7" ht="63.75" customHeight="1" x14ac:dyDescent="0.3">
      <c r="A7" s="889" t="s">
        <v>413</v>
      </c>
      <c r="B7" s="889"/>
      <c r="C7" s="862" t="str">
        <f>Титул!B8</f>
        <v>-</v>
      </c>
      <c r="D7" s="862"/>
      <c r="E7" s="862"/>
    </row>
    <row r="8" spans="1:7" ht="45" customHeight="1" x14ac:dyDescent="0.3">
      <c r="A8" s="889" t="str">
        <f>Титул!A9</f>
        <v>Наименование_подразделения_НИСП</v>
      </c>
      <c r="B8" s="889"/>
      <c r="C8" s="862" t="str">
        <f>Титул!B9</f>
        <v>-</v>
      </c>
      <c r="D8" s="862"/>
      <c r="E8" s="862"/>
    </row>
    <row r="9" spans="1:7" ht="30.75" customHeight="1" x14ac:dyDescent="0.3">
      <c r="A9" s="889" t="s">
        <v>450</v>
      </c>
      <c r="B9" s="889"/>
      <c r="C9" s="890" t="s">
        <v>378</v>
      </c>
      <c r="D9" s="890"/>
      <c r="E9" s="890"/>
    </row>
    <row r="10" spans="1:7" x14ac:dyDescent="0.3">
      <c r="C10" s="569"/>
    </row>
    <row r="12" spans="1:7" ht="63.75" customHeight="1" x14ac:dyDescent="0.3">
      <c r="A12" s="594" t="s">
        <v>0</v>
      </c>
      <c r="B12" s="594" t="str">
        <f>Распределение!B8</f>
        <v>ФИО</v>
      </c>
      <c r="C12" s="594" t="str">
        <f>Распределение!L9</f>
        <v>Должность участника НИР</v>
      </c>
      <c r="D12" s="594" t="str">
        <f>Распределение!M9</f>
        <v>Размер занимаемой ставки</v>
      </c>
      <c r="E12" s="594" t="s">
        <v>452</v>
      </c>
    </row>
    <row r="13" spans="1:7" s="498" customFormat="1" x14ac:dyDescent="0.3">
      <c r="A13" s="888" t="s">
        <v>386</v>
      </c>
      <c r="B13" s="888"/>
      <c r="C13" s="888"/>
      <c r="D13" s="503">
        <f>SUM(D14:D114)</f>
        <v>0</v>
      </c>
      <c r="E13" s="503">
        <f>SUM(E14:E114)</f>
        <v>0</v>
      </c>
    </row>
    <row r="14" spans="1:7" x14ac:dyDescent="0.3">
      <c r="A14" s="626">
        <v>1</v>
      </c>
      <c r="B14" s="499">
        <f>Распределение!B13</f>
        <v>0</v>
      </c>
      <c r="C14" s="499">
        <f>Распределение!L13</f>
        <v>0</v>
      </c>
      <c r="D14" s="500">
        <f>Распределение!M13</f>
        <v>0</v>
      </c>
      <c r="E14" s="500">
        <f>IFERROR((IF($C$9="1 квартал",Премирование!$H23,IF($C$9="2 квартал",Премирование!$K23,IF($C$9="3 квартал",Премирование!$N23,IF($C$9="1 полугодие",Премирование!$H23+Премирование!$K23,IF($C$9="год",Премирование!$O23)))))),"-")</f>
        <v>0</v>
      </c>
      <c r="G14" s="420"/>
    </row>
    <row r="15" spans="1:7" x14ac:dyDescent="0.3">
      <c r="A15" s="626">
        <v>2</v>
      </c>
      <c r="B15" s="499">
        <f>Распределение!B14</f>
        <v>0</v>
      </c>
      <c r="C15" s="499">
        <f>Распределение!L14</f>
        <v>0</v>
      </c>
      <c r="D15" s="500">
        <f>Распределение!M14</f>
        <v>0</v>
      </c>
      <c r="E15" s="500">
        <f>IFERROR((IF($C$9="1 квартал",Премирование!$H24,IF($C$9="2 квартал",Премирование!$K24,IF($C$9="3 квартал",Премирование!$N24,IF($C$9="1 полугодие",Премирование!$H24+Премирование!$K24,IF($C$9="год",Премирование!$O24)))))),"-")</f>
        <v>0</v>
      </c>
    </row>
    <row r="16" spans="1:7" x14ac:dyDescent="0.3">
      <c r="A16" s="626">
        <v>3</v>
      </c>
      <c r="B16" s="499">
        <f>Распределение!B15</f>
        <v>0</v>
      </c>
      <c r="C16" s="499">
        <f>Распределение!L15</f>
        <v>0</v>
      </c>
      <c r="D16" s="500">
        <f>Распределение!M15</f>
        <v>0</v>
      </c>
      <c r="E16" s="500">
        <f>IFERROR((IF($C$9="1 квартал",Премирование!$H25,IF($C$9="2 квартал",Премирование!$K25,IF($C$9="3 квартал",Премирование!$N25,IF($C$9="1 полугодие",Премирование!$H25+Премирование!$K25,IF($C$9="год",Премирование!$O25)))))),"-")</f>
        <v>0</v>
      </c>
      <c r="G16" s="420"/>
    </row>
    <row r="17" spans="1:7" x14ac:dyDescent="0.3">
      <c r="A17" s="626">
        <v>4</v>
      </c>
      <c r="B17" s="499">
        <f>Распределение!B16</f>
        <v>0</v>
      </c>
      <c r="C17" s="499">
        <f>Распределение!L16</f>
        <v>0</v>
      </c>
      <c r="D17" s="500">
        <f>Распределение!M16</f>
        <v>0</v>
      </c>
      <c r="E17" s="500">
        <f>IFERROR((IF($C$9="1 квартал",Премирование!$H26,IF($C$9="2 квартал",Премирование!$K26,IF($C$9="3 квартал",Премирование!$N26,IF($C$9="1 полугодие",Премирование!$H26+Премирование!$K26,IF($C$9="год",Премирование!$O26)))))),"-")</f>
        <v>0</v>
      </c>
    </row>
    <row r="18" spans="1:7" x14ac:dyDescent="0.3">
      <c r="A18" s="626">
        <v>5</v>
      </c>
      <c r="B18" s="499">
        <f>Распределение!B17</f>
        <v>0</v>
      </c>
      <c r="C18" s="499">
        <f>Распределение!L17</f>
        <v>0</v>
      </c>
      <c r="D18" s="500">
        <f>Распределение!M17</f>
        <v>0</v>
      </c>
      <c r="E18" s="500">
        <f>IFERROR((IF($C$9="1 квартал",Премирование!$H27,IF($C$9="2 квартал",Премирование!$K27,IF($C$9="3 квартал",Премирование!$N27,IF($C$9="1 полугодие",Премирование!$H27+Премирование!$K27,IF($C$9="год",Премирование!$O27)))))),"-")</f>
        <v>0</v>
      </c>
    </row>
    <row r="19" spans="1:7" x14ac:dyDescent="0.3">
      <c r="A19" s="626">
        <v>6</v>
      </c>
      <c r="B19" s="499">
        <f>Распределение!B18</f>
        <v>0</v>
      </c>
      <c r="C19" s="499">
        <f>Распределение!L18</f>
        <v>0</v>
      </c>
      <c r="D19" s="500">
        <f>Распределение!M18</f>
        <v>0</v>
      </c>
      <c r="E19" s="500">
        <f>IFERROR((IF($C$9="1 квартал",Премирование!$H28,IF($C$9="2 квартал",Премирование!$K28,IF($C$9="3 квартал",Премирование!$N28,IF($C$9="1 полугодие",Премирование!$H28+Премирование!$K28,IF($C$9="год",Премирование!$O28)))))),"-")</f>
        <v>0</v>
      </c>
    </row>
    <row r="20" spans="1:7" x14ac:dyDescent="0.3">
      <c r="A20" s="626">
        <v>7</v>
      </c>
      <c r="B20" s="499">
        <f>Распределение!B19</f>
        <v>0</v>
      </c>
      <c r="C20" s="499">
        <f>Распределение!L19</f>
        <v>0</v>
      </c>
      <c r="D20" s="500">
        <f>Распределение!M19</f>
        <v>0</v>
      </c>
      <c r="E20" s="500">
        <f>IFERROR((IF($C$9="1 квартал",Премирование!$H29,IF($C$9="2 квартал",Премирование!$K29,IF($C$9="3 квартал",Премирование!$N29,IF($C$9="1 полугодие",Премирование!$H29+Премирование!$K29,IF($C$9="год",Премирование!$O29)))))),"-")</f>
        <v>0</v>
      </c>
      <c r="G20" s="420"/>
    </row>
    <row r="21" spans="1:7" x14ac:dyDescent="0.3">
      <c r="A21" s="626">
        <v>8</v>
      </c>
      <c r="B21" s="499">
        <f>Распределение!B20</f>
        <v>0</v>
      </c>
      <c r="C21" s="499">
        <f>Распределение!L20</f>
        <v>0</v>
      </c>
      <c r="D21" s="500">
        <f>Распределение!M20</f>
        <v>0</v>
      </c>
      <c r="E21" s="500">
        <f>IFERROR((IF($C$9="1 квартал",Премирование!$H30,IF($C$9="2 квартал",Премирование!$K30,IF($C$9="3 квартал",Премирование!$N30,IF($C$9="1 полугодие",Премирование!$H30+Премирование!$K30,IF($C$9="год",Премирование!$O30)))))),"-")</f>
        <v>0</v>
      </c>
    </row>
    <row r="22" spans="1:7" x14ac:dyDescent="0.3">
      <c r="A22" s="626">
        <v>9</v>
      </c>
      <c r="B22" s="499">
        <f>Распределение!B21</f>
        <v>0</v>
      </c>
      <c r="C22" s="499">
        <f>Распределение!L21</f>
        <v>0</v>
      </c>
      <c r="D22" s="500">
        <f>Распределение!M21</f>
        <v>0</v>
      </c>
      <c r="E22" s="500">
        <f>IFERROR((IF($C$9="1 квартал",Премирование!$H31,IF($C$9="2 квартал",Премирование!$K31,IF($C$9="3 квартал",Премирование!$N31,IF($C$9="1 полугодие",Премирование!$H31+Премирование!$K31,IF($C$9="год",Премирование!$O31)))))),"-")</f>
        <v>0</v>
      </c>
    </row>
    <row r="23" spans="1:7" x14ac:dyDescent="0.3">
      <c r="A23" s="626">
        <v>10</v>
      </c>
      <c r="B23" s="499">
        <f>Распределение!B22</f>
        <v>0</v>
      </c>
      <c r="C23" s="499">
        <f>Распределение!L22</f>
        <v>0</v>
      </c>
      <c r="D23" s="500">
        <f>Распределение!M22</f>
        <v>0</v>
      </c>
      <c r="E23" s="500">
        <f>IFERROR((IF($C$9="1 квартал",Премирование!$H32,IF($C$9="2 квартал",Премирование!$K32,IF($C$9="3 квартал",Премирование!$N32,IF($C$9="1 полугодие",Премирование!$H32+Премирование!$K32,IF($C$9="год",Премирование!$O32)))))),"-")</f>
        <v>0</v>
      </c>
    </row>
    <row r="24" spans="1:7" x14ac:dyDescent="0.3">
      <c r="A24" s="626">
        <v>11</v>
      </c>
      <c r="B24" s="499">
        <f>Распределение!B23</f>
        <v>0</v>
      </c>
      <c r="C24" s="499">
        <f>Распределение!L23</f>
        <v>0</v>
      </c>
      <c r="D24" s="500">
        <f>Распределение!M23</f>
        <v>0</v>
      </c>
      <c r="E24" s="500">
        <f>IFERROR((IF($C$9="1 квартал",Премирование!$H33,IF($C$9="2 квартал",Премирование!$K33,IF($C$9="3 квартал",Премирование!$N33,IF($C$9="1 полугодие",Премирование!$H33+Премирование!$K33,IF($C$9="год",Премирование!$O33)))))),"-")</f>
        <v>0</v>
      </c>
    </row>
    <row r="25" spans="1:7" x14ac:dyDescent="0.3">
      <c r="A25" s="626">
        <v>12</v>
      </c>
      <c r="B25" s="499">
        <f>Распределение!B24</f>
        <v>0</v>
      </c>
      <c r="C25" s="499">
        <f>Распределение!L24</f>
        <v>0</v>
      </c>
      <c r="D25" s="500">
        <f>Распределение!M24</f>
        <v>0</v>
      </c>
      <c r="E25" s="500">
        <f>IFERROR((IF($C$9="1 квартал",Премирование!$H34,IF($C$9="2 квартал",Премирование!$K34,IF($C$9="3 квартал",Премирование!$N34,IF($C$9="1 полугодие",Премирование!$H34+Премирование!$K34,IF($C$9="год",Премирование!$O34)))))),"-")</f>
        <v>0</v>
      </c>
    </row>
    <row r="26" spans="1:7" x14ac:dyDescent="0.3">
      <c r="A26" s="626">
        <v>13</v>
      </c>
      <c r="B26" s="499">
        <f>Распределение!B25</f>
        <v>0</v>
      </c>
      <c r="C26" s="499">
        <f>Распределение!L25</f>
        <v>0</v>
      </c>
      <c r="D26" s="500">
        <f>Распределение!M25</f>
        <v>0</v>
      </c>
      <c r="E26" s="500">
        <f>IFERROR((IF($C$9="1 квартал",Премирование!$H35,IF($C$9="2 квартал",Премирование!$K35,IF($C$9="3 квартал",Премирование!$N35,IF($C$9="1 полугодие",Премирование!$H35+Премирование!$K35,IF($C$9="год",Премирование!$O35)))))),"-")</f>
        <v>0</v>
      </c>
    </row>
    <row r="27" spans="1:7" outlineLevel="1" x14ac:dyDescent="0.3">
      <c r="A27" s="626">
        <v>14</v>
      </c>
      <c r="B27" s="499">
        <f>Распределение!B26</f>
        <v>0</v>
      </c>
      <c r="C27" s="499">
        <f>Распределение!L26</f>
        <v>0</v>
      </c>
      <c r="D27" s="500">
        <f>Распределение!M26</f>
        <v>0</v>
      </c>
      <c r="E27" s="500">
        <f>IFERROR((IF($C$9="1 квартал",Премирование!$H36,IF($C$9="2 квартал",Премирование!$K36,IF($C$9="3 квартал",Премирование!$N36,IF($C$9="1 полугодие",Премирование!$H36+Премирование!$K36,IF($C$9="год",Премирование!$O36)))))),"-")</f>
        <v>0</v>
      </c>
    </row>
    <row r="28" spans="1:7" outlineLevel="1" x14ac:dyDescent="0.3">
      <c r="A28" s="626">
        <v>15</v>
      </c>
      <c r="B28" s="499">
        <f>Распределение!B27</f>
        <v>0</v>
      </c>
      <c r="C28" s="499">
        <f>Распределение!L27</f>
        <v>0</v>
      </c>
      <c r="D28" s="500">
        <f>Распределение!M27</f>
        <v>0</v>
      </c>
      <c r="E28" s="500">
        <f>IFERROR((IF($C$9="1 квартал",Премирование!$H37,IF($C$9="2 квартал",Премирование!$K37,IF($C$9="3 квартал",Премирование!$N37,IF($C$9="1 полугодие",Премирование!$H37+Премирование!$K37,IF($C$9="год",Премирование!$O37)))))),"-")</f>
        <v>0</v>
      </c>
    </row>
    <row r="29" spans="1:7" hidden="1" outlineLevel="1" x14ac:dyDescent="0.3">
      <c r="A29" s="626">
        <v>16</v>
      </c>
      <c r="B29" s="499">
        <f>Распределение!B28</f>
        <v>0</v>
      </c>
      <c r="C29" s="499">
        <f>Распределение!L28</f>
        <v>0</v>
      </c>
      <c r="D29" s="500">
        <f>Распределение!M28</f>
        <v>0</v>
      </c>
      <c r="E29" s="500">
        <f>IFERROR((IF($C$9="1 квартал",Премирование!$H38,IF($C$9="2 квартал",Премирование!$K38,IF($C$9="3 квартал",Премирование!$N38,IF($C$9="1 полугодие",Премирование!$H38+Премирование!$K38,IF($C$9="год",Премирование!$O38)))))),"-")</f>
        <v>0</v>
      </c>
    </row>
    <row r="30" spans="1:7" hidden="1" outlineLevel="1" x14ac:dyDescent="0.3">
      <c r="A30" s="626">
        <v>17</v>
      </c>
      <c r="B30" s="499">
        <f>Распределение!B29</f>
        <v>0</v>
      </c>
      <c r="C30" s="499">
        <f>Распределение!L29</f>
        <v>0</v>
      </c>
      <c r="D30" s="500">
        <f>Распределение!M29</f>
        <v>0</v>
      </c>
      <c r="E30" s="500">
        <f>IFERROR((IF($C$9="1 квартал",Премирование!$H39,IF($C$9="2 квартал",Премирование!$K39,IF($C$9="3 квартал",Премирование!$N39,IF($C$9="1 полугодие",Премирование!$H39+Премирование!$K39,IF($C$9="год",Премирование!$O39)))))),"-")</f>
        <v>0</v>
      </c>
    </row>
    <row r="31" spans="1:7" hidden="1" outlineLevel="1" x14ac:dyDescent="0.3">
      <c r="A31" s="626">
        <v>18</v>
      </c>
      <c r="B31" s="499">
        <f>Распределение!B30</f>
        <v>0</v>
      </c>
      <c r="C31" s="499">
        <f>Распределение!L30</f>
        <v>0</v>
      </c>
      <c r="D31" s="500">
        <f>Распределение!M30</f>
        <v>0</v>
      </c>
      <c r="E31" s="500">
        <f>IFERROR((IF($C$9="1 квартал",Премирование!$H40,IF($C$9="2 квартал",Премирование!$K40,IF($C$9="3 квартал",Премирование!$N40,IF($C$9="1 полугодие",Премирование!$H40+Премирование!$K40,IF($C$9="год",Премирование!$O40)))))),"-")</f>
        <v>0</v>
      </c>
    </row>
    <row r="32" spans="1:7" hidden="1" outlineLevel="1" x14ac:dyDescent="0.3">
      <c r="A32" s="626">
        <v>19</v>
      </c>
      <c r="B32" s="499">
        <f>Распределение!B31</f>
        <v>0</v>
      </c>
      <c r="C32" s="499">
        <f>Распределение!L31</f>
        <v>0</v>
      </c>
      <c r="D32" s="500">
        <f>Распределение!M31</f>
        <v>0</v>
      </c>
      <c r="E32" s="500">
        <f>IFERROR((IF($C$9="1 квартал",Премирование!$H41,IF($C$9="2 квартал",Премирование!$K41,IF($C$9="3 квартал",Премирование!$N41,IF($C$9="1 полугодие",Премирование!$H41+Премирование!$K41,IF($C$9="год",Премирование!$O41)))))),"-")</f>
        <v>0</v>
      </c>
    </row>
    <row r="33" spans="1:5" hidden="1" outlineLevel="1" x14ac:dyDescent="0.3">
      <c r="A33" s="626">
        <v>20</v>
      </c>
      <c r="B33" s="499">
        <f>Распределение!B32</f>
        <v>0</v>
      </c>
      <c r="C33" s="499">
        <f>Распределение!L32</f>
        <v>0</v>
      </c>
      <c r="D33" s="500">
        <f>Распределение!M32</f>
        <v>0</v>
      </c>
      <c r="E33" s="500">
        <f>IFERROR((IF($C$9="1 квартал",Премирование!$H42,IF($C$9="2 квартал",Премирование!$K42,IF($C$9="3 квартал",Премирование!$N42,IF($C$9="1 полугодие",Премирование!$H42+Премирование!$K42,IF($C$9="год",Премирование!$O42)))))),"-")</f>
        <v>0</v>
      </c>
    </row>
    <row r="34" spans="1:5" hidden="1" outlineLevel="1" x14ac:dyDescent="0.3">
      <c r="A34" s="626">
        <v>21</v>
      </c>
      <c r="B34" s="499">
        <f>Распределение!B33</f>
        <v>0</v>
      </c>
      <c r="C34" s="499">
        <f>Распределение!L33</f>
        <v>0</v>
      </c>
      <c r="D34" s="500">
        <f>Распределение!M33</f>
        <v>0</v>
      </c>
      <c r="E34" s="500">
        <f>IFERROR((IF($C$9="1 квартал",Премирование!$H43,IF($C$9="2 квартал",Премирование!$K43,IF($C$9="3 квартал",Премирование!$N43,IF($C$9="1 полугодие",Премирование!$H43+Премирование!$K43,IF($C$9="год",Премирование!$O43)))))),"-")</f>
        <v>0</v>
      </c>
    </row>
    <row r="35" spans="1:5" hidden="1" outlineLevel="1" x14ac:dyDescent="0.3">
      <c r="A35" s="626">
        <v>22</v>
      </c>
      <c r="B35" s="499">
        <f>Распределение!B34</f>
        <v>0</v>
      </c>
      <c r="C35" s="499">
        <f>Распределение!L34</f>
        <v>0</v>
      </c>
      <c r="D35" s="500">
        <f>Распределение!M34</f>
        <v>0</v>
      </c>
      <c r="E35" s="500">
        <f>IFERROR((IF($C$9="1 квартал",Премирование!$H44,IF($C$9="2 квартал",Премирование!$K44,IF($C$9="3 квартал",Премирование!$N44,IF($C$9="1 полугодие",Премирование!$H44+Премирование!$K44,IF($C$9="год",Премирование!$O44)))))),"-")</f>
        <v>0</v>
      </c>
    </row>
    <row r="36" spans="1:5" hidden="1" outlineLevel="1" x14ac:dyDescent="0.3">
      <c r="A36" s="626">
        <v>23</v>
      </c>
      <c r="B36" s="499">
        <f>Распределение!B35</f>
        <v>0</v>
      </c>
      <c r="C36" s="499">
        <f>Распределение!L35</f>
        <v>0</v>
      </c>
      <c r="D36" s="500">
        <f>Распределение!M35</f>
        <v>0</v>
      </c>
      <c r="E36" s="500">
        <f>IFERROR((IF($C$9="1 квартал",Премирование!$H45,IF($C$9="2 квартал",Премирование!$K45,IF($C$9="3 квартал",Премирование!$N45,IF($C$9="1 полугодие",Премирование!$H45+Премирование!$K45,IF($C$9="год",Премирование!$O45)))))),"-")</f>
        <v>0</v>
      </c>
    </row>
    <row r="37" spans="1:5" hidden="1" outlineLevel="1" x14ac:dyDescent="0.3">
      <c r="A37" s="626">
        <v>24</v>
      </c>
      <c r="B37" s="499">
        <f>Распределение!B36</f>
        <v>0</v>
      </c>
      <c r="C37" s="499">
        <f>Распределение!L36</f>
        <v>0</v>
      </c>
      <c r="D37" s="500">
        <f>Распределение!M36</f>
        <v>0</v>
      </c>
      <c r="E37" s="500">
        <f>IFERROR((IF($C$9="1 квартал",Премирование!$H46,IF($C$9="2 квартал",Премирование!$K46,IF($C$9="3 квартал",Премирование!$N46,IF($C$9="1 полугодие",Премирование!$H46+Премирование!$K46,IF($C$9="год",Премирование!$O46)))))),"-")</f>
        <v>0</v>
      </c>
    </row>
    <row r="38" spans="1:5" hidden="1" outlineLevel="1" x14ac:dyDescent="0.3">
      <c r="A38" s="626">
        <v>25</v>
      </c>
      <c r="B38" s="499">
        <f>Распределение!B37</f>
        <v>0</v>
      </c>
      <c r="C38" s="499">
        <f>Распределение!L37</f>
        <v>0</v>
      </c>
      <c r="D38" s="500">
        <f>Распределение!M37</f>
        <v>0</v>
      </c>
      <c r="E38" s="500">
        <f>IFERROR((IF($C$9="1 квартал",Премирование!$H47,IF($C$9="2 квартал",Премирование!$K47,IF($C$9="3 квартал",Премирование!$N47,IF($C$9="1 полугодие",Премирование!$H47+Премирование!$K47,IF($C$9="год",Премирование!$O47)))))),"-")</f>
        <v>0</v>
      </c>
    </row>
    <row r="39" spans="1:5" hidden="1" outlineLevel="1" x14ac:dyDescent="0.3">
      <c r="A39" s="626">
        <v>26</v>
      </c>
      <c r="B39" s="499">
        <f>Распределение!B38</f>
        <v>0</v>
      </c>
      <c r="C39" s="499">
        <f>Распределение!L38</f>
        <v>0</v>
      </c>
      <c r="D39" s="500">
        <f>Распределение!M38</f>
        <v>0</v>
      </c>
      <c r="E39" s="500">
        <f>IFERROR((IF($C$9="1 квартал",Премирование!$H48,IF($C$9="2 квартал",Премирование!$K48,IF($C$9="3 квартал",Премирование!$N48,IF($C$9="1 полугодие",Премирование!$H48+Премирование!$K48,IF($C$9="год",Премирование!$O48)))))),"-")</f>
        <v>0</v>
      </c>
    </row>
    <row r="40" spans="1:5" hidden="1" outlineLevel="1" x14ac:dyDescent="0.3">
      <c r="A40" s="626">
        <v>27</v>
      </c>
      <c r="B40" s="499">
        <f>Распределение!B39</f>
        <v>0</v>
      </c>
      <c r="C40" s="499">
        <f>Распределение!L39</f>
        <v>0</v>
      </c>
      <c r="D40" s="500">
        <f>Распределение!M39</f>
        <v>0</v>
      </c>
      <c r="E40" s="500">
        <f>IFERROR((IF($C$9="1 квартал",Премирование!$H49,IF($C$9="2 квартал",Премирование!$K49,IF($C$9="3 квартал",Премирование!$N49,IF($C$9="1 полугодие",Премирование!$H49+Премирование!$K49,IF($C$9="год",Премирование!$O49)))))),"-")</f>
        <v>0</v>
      </c>
    </row>
    <row r="41" spans="1:5" hidden="1" outlineLevel="1" x14ac:dyDescent="0.3">
      <c r="A41" s="626">
        <v>28</v>
      </c>
      <c r="B41" s="499">
        <f>Распределение!B40</f>
        <v>0</v>
      </c>
      <c r="C41" s="499">
        <f>Распределение!L40</f>
        <v>0</v>
      </c>
      <c r="D41" s="500">
        <f>Распределение!M40</f>
        <v>0</v>
      </c>
      <c r="E41" s="500">
        <f>IFERROR((IF($C$9="1 квартал",Премирование!$H50,IF($C$9="2 квартал",Премирование!$K50,IF($C$9="3 квартал",Премирование!$N50,IF($C$9="1 полугодие",Премирование!$H50+Премирование!$K50,IF($C$9="год",Премирование!$O50)))))),"-")</f>
        <v>0</v>
      </c>
    </row>
    <row r="42" spans="1:5" hidden="1" outlineLevel="1" x14ac:dyDescent="0.3">
      <c r="A42" s="626">
        <v>29</v>
      </c>
      <c r="B42" s="499">
        <f>Распределение!B41</f>
        <v>0</v>
      </c>
      <c r="C42" s="499">
        <f>Распределение!L41</f>
        <v>0</v>
      </c>
      <c r="D42" s="500">
        <f>Распределение!M41</f>
        <v>0</v>
      </c>
      <c r="E42" s="500">
        <f>IFERROR((IF($C$9="1 квартал",Премирование!$H51,IF($C$9="2 квартал",Премирование!$K51,IF($C$9="3 квартал",Премирование!$N51,IF($C$9="1 полугодие",Премирование!$H51+Премирование!$K51,IF($C$9="год",Премирование!$O51)))))),"-")</f>
        <v>0</v>
      </c>
    </row>
    <row r="43" spans="1:5" hidden="1" outlineLevel="1" x14ac:dyDescent="0.3">
      <c r="A43" s="626">
        <v>30</v>
      </c>
      <c r="B43" s="499">
        <f>Распределение!B42</f>
        <v>0</v>
      </c>
      <c r="C43" s="499">
        <f>Распределение!L42</f>
        <v>0</v>
      </c>
      <c r="D43" s="500">
        <f>Распределение!M42</f>
        <v>0</v>
      </c>
      <c r="E43" s="500">
        <f>IFERROR((IF($C$9="1 квартал",Премирование!$H52,IF($C$9="2 квартал",Премирование!$K52,IF($C$9="3 квартал",Премирование!$N52,IF($C$9="1 полугодие",Премирование!$H52+Премирование!$K52,IF($C$9="год",Премирование!$O52)))))),"-")</f>
        <v>0</v>
      </c>
    </row>
    <row r="44" spans="1:5" hidden="1" outlineLevel="1" x14ac:dyDescent="0.3">
      <c r="A44" s="626">
        <v>31</v>
      </c>
      <c r="B44" s="499">
        <f>Распределение!B43</f>
        <v>0</v>
      </c>
      <c r="C44" s="499">
        <f>Распределение!L43</f>
        <v>0</v>
      </c>
      <c r="D44" s="500">
        <f>Распределение!M43</f>
        <v>0</v>
      </c>
      <c r="E44" s="500">
        <f>IFERROR((IF($C$9="1 квартал",Премирование!$H53,IF($C$9="2 квартал",Премирование!$K53,IF($C$9="3 квартал",Премирование!$N53,IF($C$9="1 полугодие",Премирование!$H53+Премирование!$K53,IF($C$9="год",Премирование!$O53)))))),"-")</f>
        <v>0</v>
      </c>
    </row>
    <row r="45" spans="1:5" hidden="1" outlineLevel="1" x14ac:dyDescent="0.3">
      <c r="A45" s="626">
        <v>32</v>
      </c>
      <c r="B45" s="499">
        <f>Распределение!B44</f>
        <v>0</v>
      </c>
      <c r="C45" s="499">
        <f>Распределение!L44</f>
        <v>0</v>
      </c>
      <c r="D45" s="500">
        <f>Распределение!M44</f>
        <v>0</v>
      </c>
      <c r="E45" s="500">
        <f>IFERROR((IF($C$9="1 квартал",Премирование!$H54,IF($C$9="2 квартал",Премирование!$K54,IF($C$9="3 квартал",Премирование!$N54,IF($C$9="1 полугодие",Премирование!$H54+Премирование!$K54,IF($C$9="год",Премирование!$O54)))))),"-")</f>
        <v>0</v>
      </c>
    </row>
    <row r="46" spans="1:5" hidden="1" outlineLevel="1" x14ac:dyDescent="0.3">
      <c r="A46" s="626">
        <v>33</v>
      </c>
      <c r="B46" s="499">
        <f>Распределение!B45</f>
        <v>0</v>
      </c>
      <c r="C46" s="499">
        <f>Распределение!L45</f>
        <v>0</v>
      </c>
      <c r="D46" s="500">
        <f>Распределение!M45</f>
        <v>0</v>
      </c>
      <c r="E46" s="500">
        <f>IFERROR((IF($C$9="1 квартал",Премирование!$H55,IF($C$9="2 квартал",Премирование!$K55,IF($C$9="3 квартал",Премирование!$N55,IF($C$9="1 полугодие",Премирование!$H55+Премирование!$K55,IF($C$9="год",Премирование!$O55)))))),"-")</f>
        <v>0</v>
      </c>
    </row>
    <row r="47" spans="1:5" hidden="1" outlineLevel="1" x14ac:dyDescent="0.3">
      <c r="A47" s="626">
        <v>34</v>
      </c>
      <c r="B47" s="499">
        <f>Распределение!B46</f>
        <v>0</v>
      </c>
      <c r="C47" s="499">
        <f>Распределение!L46</f>
        <v>0</v>
      </c>
      <c r="D47" s="500">
        <f>Распределение!M46</f>
        <v>0</v>
      </c>
      <c r="E47" s="500">
        <f>IFERROR((IF($C$9="1 квартал",Премирование!$H56,IF($C$9="2 квартал",Премирование!$K56,IF($C$9="3 квартал",Премирование!$N56,IF($C$9="1 полугодие",Премирование!$H56+Премирование!$K56,IF($C$9="год",Премирование!$O56)))))),"-")</f>
        <v>0</v>
      </c>
    </row>
    <row r="48" spans="1:5" hidden="1" outlineLevel="1" x14ac:dyDescent="0.3">
      <c r="A48" s="626">
        <v>35</v>
      </c>
      <c r="B48" s="499">
        <f>Распределение!B47</f>
        <v>0</v>
      </c>
      <c r="C48" s="499">
        <f>Распределение!L47</f>
        <v>0</v>
      </c>
      <c r="D48" s="500">
        <f>Распределение!M47</f>
        <v>0</v>
      </c>
      <c r="E48" s="500">
        <f>IFERROR((IF($C$9="1 квартал",Премирование!$H57,IF($C$9="2 квартал",Премирование!$K57,IF($C$9="3 квартал",Премирование!$N57,IF($C$9="1 полугодие",Премирование!$H57+Премирование!$K57,IF($C$9="год",Премирование!$O57)))))),"-")</f>
        <v>0</v>
      </c>
    </row>
    <row r="49" spans="1:5" hidden="1" outlineLevel="1" x14ac:dyDescent="0.3">
      <c r="A49" s="626">
        <v>36</v>
      </c>
      <c r="B49" s="499">
        <f>Распределение!B48</f>
        <v>0</v>
      </c>
      <c r="C49" s="499">
        <f>Распределение!L48</f>
        <v>0</v>
      </c>
      <c r="D49" s="500">
        <f>Распределение!M48</f>
        <v>0</v>
      </c>
      <c r="E49" s="500">
        <f>IFERROR((IF($C$9="1 квартал",Премирование!$H58,IF($C$9="2 квартал",Премирование!$K58,IF($C$9="3 квартал",Премирование!$N58,IF($C$9="1 полугодие",Премирование!$H58+Премирование!$K58,IF($C$9="год",Премирование!$O58)))))),"-")</f>
        <v>0</v>
      </c>
    </row>
    <row r="50" spans="1:5" hidden="1" outlineLevel="1" x14ac:dyDescent="0.3">
      <c r="A50" s="626">
        <v>37</v>
      </c>
      <c r="B50" s="499">
        <f>Распределение!B49</f>
        <v>0</v>
      </c>
      <c r="C50" s="499">
        <f>Распределение!L49</f>
        <v>0</v>
      </c>
      <c r="D50" s="500">
        <f>Распределение!M49</f>
        <v>0</v>
      </c>
      <c r="E50" s="500">
        <f>IFERROR((IF($C$9="1 квартал",Премирование!$H59,IF($C$9="2 квартал",Премирование!$K59,IF($C$9="3 квартал",Премирование!$N59,IF($C$9="1 полугодие",Премирование!$H59+Премирование!$K59,IF($C$9="год",Премирование!$O59)))))),"-")</f>
        <v>0</v>
      </c>
    </row>
    <row r="51" spans="1:5" hidden="1" outlineLevel="1" x14ac:dyDescent="0.3">
      <c r="A51" s="626">
        <v>38</v>
      </c>
      <c r="B51" s="499">
        <f>Распределение!B50</f>
        <v>0</v>
      </c>
      <c r="C51" s="499">
        <f>Распределение!L50</f>
        <v>0</v>
      </c>
      <c r="D51" s="500">
        <f>Распределение!M50</f>
        <v>0</v>
      </c>
      <c r="E51" s="500">
        <f>IFERROR((IF($C$9="1 квартал",Премирование!$H60,IF($C$9="2 квартал",Премирование!$K60,IF($C$9="3 квартал",Премирование!$N60,IF($C$9="1 полугодие",Премирование!$H60+Премирование!$K60,IF($C$9="год",Премирование!$O60)))))),"-")</f>
        <v>0</v>
      </c>
    </row>
    <row r="52" spans="1:5" hidden="1" outlineLevel="1" x14ac:dyDescent="0.3">
      <c r="A52" s="626">
        <v>39</v>
      </c>
      <c r="B52" s="499">
        <f>Распределение!B51</f>
        <v>0</v>
      </c>
      <c r="C52" s="499">
        <f>Распределение!L51</f>
        <v>0</v>
      </c>
      <c r="D52" s="500">
        <f>Распределение!M51</f>
        <v>0</v>
      </c>
      <c r="E52" s="500">
        <f>IFERROR((IF($C$9="1 квартал",Премирование!$H61,IF($C$9="2 квартал",Премирование!$K61,IF($C$9="3 квартал",Премирование!$N61,IF($C$9="1 полугодие",Премирование!$H61+Премирование!$K61,IF($C$9="год",Премирование!$O61)))))),"-")</f>
        <v>0</v>
      </c>
    </row>
    <row r="53" spans="1:5" hidden="1" outlineLevel="1" x14ac:dyDescent="0.3">
      <c r="A53" s="626">
        <v>40</v>
      </c>
      <c r="B53" s="499">
        <f>Распределение!B52</f>
        <v>0</v>
      </c>
      <c r="C53" s="499">
        <f>Распределение!L52</f>
        <v>0</v>
      </c>
      <c r="D53" s="500">
        <f>Распределение!M52</f>
        <v>0</v>
      </c>
      <c r="E53" s="500">
        <f>IFERROR((IF($C$9="1 квартал",Премирование!$H62,IF($C$9="2 квартал",Премирование!$K62,IF($C$9="3 квартал",Премирование!$N62,IF($C$9="1 полугодие",Премирование!$H62+Премирование!$K62,IF($C$9="год",Премирование!$O62)))))),"-")</f>
        <v>0</v>
      </c>
    </row>
    <row r="54" spans="1:5" hidden="1" outlineLevel="1" x14ac:dyDescent="0.3">
      <c r="A54" s="626">
        <v>41</v>
      </c>
      <c r="B54" s="499">
        <f>Распределение!B53</f>
        <v>0</v>
      </c>
      <c r="C54" s="499">
        <f>Распределение!L53</f>
        <v>0</v>
      </c>
      <c r="D54" s="500">
        <f>Распределение!M53</f>
        <v>0</v>
      </c>
      <c r="E54" s="500">
        <f>IFERROR((IF($C$9="1 квартал",Премирование!$H63,IF($C$9="2 квартал",Премирование!$K63,IF($C$9="3 квартал",Премирование!$N63,IF($C$9="1 полугодие",Премирование!$H63+Премирование!$K63,IF($C$9="год",Премирование!$O63)))))),"-")</f>
        <v>0</v>
      </c>
    </row>
    <row r="55" spans="1:5" hidden="1" outlineLevel="1" x14ac:dyDescent="0.3">
      <c r="A55" s="626">
        <v>42</v>
      </c>
      <c r="B55" s="499">
        <f>Распределение!B54</f>
        <v>0</v>
      </c>
      <c r="C55" s="499">
        <f>Распределение!L54</f>
        <v>0</v>
      </c>
      <c r="D55" s="500">
        <f>Распределение!M54</f>
        <v>0</v>
      </c>
      <c r="E55" s="500">
        <f>IFERROR((IF($C$9="1 квартал",Премирование!$H64,IF($C$9="2 квартал",Премирование!$K64,IF($C$9="3 квартал",Премирование!$N64,IF($C$9="1 полугодие",Премирование!$H64+Премирование!$K64,IF($C$9="год",Премирование!$O64)))))),"-")</f>
        <v>0</v>
      </c>
    </row>
    <row r="56" spans="1:5" hidden="1" outlineLevel="1" x14ac:dyDescent="0.3">
      <c r="A56" s="626">
        <v>43</v>
      </c>
      <c r="B56" s="499">
        <f>Распределение!B55</f>
        <v>0</v>
      </c>
      <c r="C56" s="499">
        <f>Распределение!L55</f>
        <v>0</v>
      </c>
      <c r="D56" s="500">
        <f>Распределение!M55</f>
        <v>0</v>
      </c>
      <c r="E56" s="500">
        <f>IFERROR((IF($C$9="1 квартал",Премирование!$H65,IF($C$9="2 квартал",Премирование!$K65,IF($C$9="3 квартал",Премирование!$N65,IF($C$9="1 полугодие",Премирование!$H65+Премирование!$K65,IF($C$9="год",Премирование!$O65)))))),"-")</f>
        <v>0</v>
      </c>
    </row>
    <row r="57" spans="1:5" hidden="1" outlineLevel="1" x14ac:dyDescent="0.3">
      <c r="A57" s="626">
        <v>44</v>
      </c>
      <c r="B57" s="499">
        <f>Распределение!B56</f>
        <v>0</v>
      </c>
      <c r="C57" s="499">
        <f>Распределение!L56</f>
        <v>0</v>
      </c>
      <c r="D57" s="500">
        <f>Распределение!M56</f>
        <v>0</v>
      </c>
      <c r="E57" s="500">
        <f>IFERROR((IF($C$9="1 квартал",Премирование!$H66,IF($C$9="2 квартал",Премирование!$K66,IF($C$9="3 квартал",Премирование!$N66,IF($C$9="1 полугодие",Премирование!$H66+Премирование!$K66,IF($C$9="год",Премирование!$O66)))))),"-")</f>
        <v>0</v>
      </c>
    </row>
    <row r="58" spans="1:5" hidden="1" outlineLevel="1" x14ac:dyDescent="0.3">
      <c r="A58" s="626">
        <v>45</v>
      </c>
      <c r="B58" s="499">
        <f>Распределение!B57</f>
        <v>0</v>
      </c>
      <c r="C58" s="499">
        <f>Распределение!L57</f>
        <v>0</v>
      </c>
      <c r="D58" s="500">
        <f>Распределение!M57</f>
        <v>0</v>
      </c>
      <c r="E58" s="500">
        <f>IFERROR((IF($C$9="1 квартал",Премирование!$H67,IF($C$9="2 квартал",Премирование!$K67,IF($C$9="3 квартал",Премирование!$N67,IF($C$9="1 полугодие",Премирование!$H67+Премирование!$K67,IF($C$9="год",Премирование!$O67)))))),"-")</f>
        <v>0</v>
      </c>
    </row>
    <row r="59" spans="1:5" hidden="1" outlineLevel="1" x14ac:dyDescent="0.3">
      <c r="A59" s="626">
        <v>46</v>
      </c>
      <c r="B59" s="499">
        <f>Распределение!B58</f>
        <v>0</v>
      </c>
      <c r="C59" s="499">
        <f>Распределение!L58</f>
        <v>0</v>
      </c>
      <c r="D59" s="500">
        <f>Распределение!M58</f>
        <v>0</v>
      </c>
      <c r="E59" s="500">
        <f>IFERROR((IF($C$9="1 квартал",Премирование!$H68,IF($C$9="2 квартал",Премирование!$K68,IF($C$9="3 квартал",Премирование!$N68,IF($C$9="1 полугодие",Премирование!$H68+Премирование!$K68,IF($C$9="год",Премирование!$O68)))))),"-")</f>
        <v>0</v>
      </c>
    </row>
    <row r="60" spans="1:5" hidden="1" outlineLevel="1" x14ac:dyDescent="0.3">
      <c r="A60" s="626">
        <v>47</v>
      </c>
      <c r="B60" s="499">
        <f>Распределение!B59</f>
        <v>0</v>
      </c>
      <c r="C60" s="499">
        <f>Распределение!L59</f>
        <v>0</v>
      </c>
      <c r="D60" s="500">
        <f>Распределение!M59</f>
        <v>0</v>
      </c>
      <c r="E60" s="500">
        <f>IFERROR((IF($C$9="1 квартал",Премирование!$H69,IF($C$9="2 квартал",Премирование!$K69,IF($C$9="3 квартал",Премирование!$N69,IF($C$9="1 полугодие",Премирование!$H69+Премирование!$K69,IF($C$9="год",Премирование!$O69)))))),"-")</f>
        <v>0</v>
      </c>
    </row>
    <row r="61" spans="1:5" hidden="1" outlineLevel="1" x14ac:dyDescent="0.3">
      <c r="A61" s="626">
        <v>48</v>
      </c>
      <c r="B61" s="499">
        <f>Распределение!B60</f>
        <v>0</v>
      </c>
      <c r="C61" s="499">
        <f>Распределение!L60</f>
        <v>0</v>
      </c>
      <c r="D61" s="500">
        <f>Распределение!M60</f>
        <v>0</v>
      </c>
      <c r="E61" s="500">
        <f>IFERROR((IF($C$9="1 квартал",Премирование!$H70,IF($C$9="2 квартал",Премирование!$K70,IF($C$9="3 квартал",Премирование!$N70,IF($C$9="1 полугодие",Премирование!$H70+Премирование!$K70,IF($C$9="год",Премирование!$O70)))))),"-")</f>
        <v>0</v>
      </c>
    </row>
    <row r="62" spans="1:5" hidden="1" outlineLevel="1" x14ac:dyDescent="0.3">
      <c r="A62" s="626">
        <v>49</v>
      </c>
      <c r="B62" s="499">
        <f>Распределение!B61</f>
        <v>0</v>
      </c>
      <c r="C62" s="499">
        <f>Распределение!L61</f>
        <v>0</v>
      </c>
      <c r="D62" s="500">
        <f>Распределение!M61</f>
        <v>0</v>
      </c>
      <c r="E62" s="500">
        <f>IFERROR((IF($C$9="1 квартал",Премирование!$H71,IF($C$9="2 квартал",Премирование!$K71,IF($C$9="3 квартал",Премирование!$N71,IF($C$9="1 полугодие",Премирование!$H71+Премирование!$K71,IF($C$9="год",Премирование!$O71)))))),"-")</f>
        <v>0</v>
      </c>
    </row>
    <row r="63" spans="1:5" hidden="1" outlineLevel="1" x14ac:dyDescent="0.3">
      <c r="A63" s="626">
        <v>50</v>
      </c>
      <c r="B63" s="499">
        <f>Распределение!B62</f>
        <v>0</v>
      </c>
      <c r="C63" s="499">
        <f>Распределение!L62</f>
        <v>0</v>
      </c>
      <c r="D63" s="500">
        <f>Распределение!M62</f>
        <v>0</v>
      </c>
      <c r="E63" s="500">
        <f>IFERROR((IF($C$9="1 квартал",Премирование!$H72,IF($C$9="2 квартал",Премирование!$K72,IF($C$9="3 квартал",Премирование!$N72,IF($C$9="1 полугодие",Премирование!$H72+Премирование!$K72,IF($C$9="год",Премирование!$O72)))))),"-")</f>
        <v>0</v>
      </c>
    </row>
    <row r="64" spans="1:5" hidden="1" outlineLevel="1" x14ac:dyDescent="0.3">
      <c r="A64" s="626">
        <v>51</v>
      </c>
      <c r="B64" s="499">
        <f>Распределение!B63</f>
        <v>0</v>
      </c>
      <c r="C64" s="499">
        <f>Распределение!L63</f>
        <v>0</v>
      </c>
      <c r="D64" s="500">
        <f>Распределение!M63</f>
        <v>0</v>
      </c>
      <c r="E64" s="500">
        <f>IFERROR((IF($C$9="1 квартал",Премирование!$H73,IF($C$9="2 квартал",Премирование!$K73,IF($C$9="3 квартал",Премирование!$N73,IF($C$9="1 полугодие",Премирование!$H73+Премирование!$K73,IF($C$9="год",Премирование!$O73)))))),"-")</f>
        <v>0</v>
      </c>
    </row>
    <row r="65" spans="1:5" hidden="1" outlineLevel="1" x14ac:dyDescent="0.3">
      <c r="A65" s="626">
        <v>52</v>
      </c>
      <c r="B65" s="499">
        <f>Распределение!B64</f>
        <v>0</v>
      </c>
      <c r="C65" s="499">
        <f>Распределение!L64</f>
        <v>0</v>
      </c>
      <c r="D65" s="500">
        <f>Распределение!M64</f>
        <v>0</v>
      </c>
      <c r="E65" s="500">
        <f>IFERROR((IF($C$9="1 квартал",Премирование!$H74,IF($C$9="2 квартал",Премирование!$K74,IF($C$9="3 квартал",Премирование!$N74,IF($C$9="1 полугодие",Премирование!$H74+Премирование!$K74,IF($C$9="год",Премирование!$O74)))))),"-")</f>
        <v>0</v>
      </c>
    </row>
    <row r="66" spans="1:5" hidden="1" outlineLevel="1" x14ac:dyDescent="0.3">
      <c r="A66" s="626">
        <v>53</v>
      </c>
      <c r="B66" s="499">
        <f>Распределение!B65</f>
        <v>0</v>
      </c>
      <c r="C66" s="499">
        <f>Распределение!L65</f>
        <v>0</v>
      </c>
      <c r="D66" s="500">
        <f>Распределение!M65</f>
        <v>0</v>
      </c>
      <c r="E66" s="500">
        <f>IFERROR((IF($C$9="1 квартал",Премирование!$H75,IF($C$9="2 квартал",Премирование!$K75,IF($C$9="3 квартал",Премирование!$N75,IF($C$9="1 полугодие",Премирование!$H75+Премирование!$K75,IF($C$9="год",Премирование!$O75)))))),"-")</f>
        <v>0</v>
      </c>
    </row>
    <row r="67" spans="1:5" hidden="1" outlineLevel="1" x14ac:dyDescent="0.3">
      <c r="A67" s="626">
        <v>54</v>
      </c>
      <c r="B67" s="499">
        <f>Распределение!B66</f>
        <v>0</v>
      </c>
      <c r="C67" s="499">
        <f>Распределение!L66</f>
        <v>0</v>
      </c>
      <c r="D67" s="500">
        <f>Распределение!M66</f>
        <v>0</v>
      </c>
      <c r="E67" s="500">
        <f>IFERROR((IF($C$9="1 квартал",Премирование!$H76,IF($C$9="2 квартал",Премирование!$K76,IF($C$9="3 квартал",Премирование!$N76,IF($C$9="1 полугодие",Премирование!$H76+Премирование!$K76,IF($C$9="год",Премирование!$O76)))))),"-")</f>
        <v>0</v>
      </c>
    </row>
    <row r="68" spans="1:5" hidden="1" outlineLevel="1" x14ac:dyDescent="0.3">
      <c r="A68" s="626">
        <v>55</v>
      </c>
      <c r="B68" s="499">
        <f>Распределение!B67</f>
        <v>0</v>
      </c>
      <c r="C68" s="499">
        <f>Распределение!L67</f>
        <v>0</v>
      </c>
      <c r="D68" s="500">
        <f>Распределение!M67</f>
        <v>0</v>
      </c>
      <c r="E68" s="500">
        <f>IFERROR((IF($C$9="1 квартал",Премирование!$H77,IF($C$9="2 квартал",Премирование!$K77,IF($C$9="3 квартал",Премирование!$N77,IF($C$9="1 полугодие",Премирование!$H77+Премирование!$K77,IF($C$9="год",Премирование!$O77)))))),"-")</f>
        <v>0</v>
      </c>
    </row>
    <row r="69" spans="1:5" hidden="1" outlineLevel="1" x14ac:dyDescent="0.3">
      <c r="A69" s="626">
        <v>56</v>
      </c>
      <c r="B69" s="499">
        <f>Распределение!B68</f>
        <v>0</v>
      </c>
      <c r="C69" s="499">
        <f>Распределение!L68</f>
        <v>0</v>
      </c>
      <c r="D69" s="500">
        <f>Распределение!M68</f>
        <v>0</v>
      </c>
      <c r="E69" s="500">
        <f>IFERROR((IF($C$9="1 квартал",Премирование!$H78,IF($C$9="2 квартал",Премирование!$K78,IF($C$9="3 квартал",Премирование!$N78,IF($C$9="1 полугодие",Премирование!$H78+Премирование!$K78,IF($C$9="год",Премирование!$O78)))))),"-")</f>
        <v>0</v>
      </c>
    </row>
    <row r="70" spans="1:5" hidden="1" outlineLevel="1" x14ac:dyDescent="0.3">
      <c r="A70" s="626">
        <v>57</v>
      </c>
      <c r="B70" s="499">
        <f>Распределение!B69</f>
        <v>0</v>
      </c>
      <c r="C70" s="499">
        <f>Распределение!L69</f>
        <v>0</v>
      </c>
      <c r="D70" s="500">
        <f>Распределение!M69</f>
        <v>0</v>
      </c>
      <c r="E70" s="500">
        <f>IFERROR((IF($C$9="1 квартал",Премирование!$H79,IF($C$9="2 квартал",Премирование!$K79,IF($C$9="3 квартал",Премирование!$N79,IF($C$9="1 полугодие",Премирование!$H79+Премирование!$K79,IF($C$9="год",Премирование!$O79)))))),"-")</f>
        <v>0</v>
      </c>
    </row>
    <row r="71" spans="1:5" hidden="1" outlineLevel="1" x14ac:dyDescent="0.3">
      <c r="A71" s="626">
        <v>58</v>
      </c>
      <c r="B71" s="499">
        <f>Распределение!B70</f>
        <v>0</v>
      </c>
      <c r="C71" s="499">
        <f>Распределение!L70</f>
        <v>0</v>
      </c>
      <c r="D71" s="500">
        <f>Распределение!M70</f>
        <v>0</v>
      </c>
      <c r="E71" s="500">
        <f>IFERROR((IF($C$9="1 квартал",Премирование!$H80,IF($C$9="2 квартал",Премирование!$K80,IF($C$9="3 квартал",Премирование!$N80,IF($C$9="1 полугодие",Премирование!$H80+Премирование!$K80,IF($C$9="год",Премирование!$O80)))))),"-")</f>
        <v>0</v>
      </c>
    </row>
    <row r="72" spans="1:5" hidden="1" outlineLevel="1" x14ac:dyDescent="0.3">
      <c r="A72" s="626">
        <v>59</v>
      </c>
      <c r="B72" s="499">
        <f>Распределение!B71</f>
        <v>0</v>
      </c>
      <c r="C72" s="499">
        <f>Распределение!L71</f>
        <v>0</v>
      </c>
      <c r="D72" s="500">
        <f>Распределение!M71</f>
        <v>0</v>
      </c>
      <c r="E72" s="500">
        <f>IFERROR((IF($C$9="1 квартал",Премирование!$H81,IF($C$9="2 квартал",Премирование!$K81,IF($C$9="3 квартал",Премирование!$N81,IF($C$9="1 полугодие",Премирование!$H81+Премирование!$K81,IF($C$9="год",Премирование!$O81)))))),"-")</f>
        <v>0</v>
      </c>
    </row>
    <row r="73" spans="1:5" hidden="1" outlineLevel="1" x14ac:dyDescent="0.3">
      <c r="A73" s="626">
        <v>60</v>
      </c>
      <c r="B73" s="499">
        <f>Распределение!B72</f>
        <v>0</v>
      </c>
      <c r="C73" s="499">
        <f>Распределение!L72</f>
        <v>0</v>
      </c>
      <c r="D73" s="500">
        <f>Распределение!M72</f>
        <v>0</v>
      </c>
      <c r="E73" s="500">
        <f>IFERROR((IF($C$9="1 квартал",Премирование!$H82,IF($C$9="2 квартал",Премирование!$K82,IF($C$9="3 квартал",Премирование!$N82,IF($C$9="1 полугодие",Премирование!$H82+Премирование!$K82,IF($C$9="год",Премирование!$O82)))))),"-")</f>
        <v>0</v>
      </c>
    </row>
    <row r="74" spans="1:5" hidden="1" outlineLevel="1" x14ac:dyDescent="0.3">
      <c r="A74" s="626">
        <v>61</v>
      </c>
      <c r="B74" s="499">
        <f>Распределение!B73</f>
        <v>0</v>
      </c>
      <c r="C74" s="499">
        <f>Распределение!L73</f>
        <v>0</v>
      </c>
      <c r="D74" s="500">
        <f>Распределение!M73</f>
        <v>0</v>
      </c>
      <c r="E74" s="500">
        <f>IFERROR((IF($C$9="1 квартал",Премирование!$H83,IF($C$9="2 квартал",Премирование!$K83,IF($C$9="3 квартал",Премирование!$N83,IF($C$9="1 полугодие",Премирование!$H83+Премирование!$K83,IF($C$9="год",Премирование!$O83)))))),"-")</f>
        <v>0</v>
      </c>
    </row>
    <row r="75" spans="1:5" hidden="1" outlineLevel="1" x14ac:dyDescent="0.3">
      <c r="A75" s="626">
        <v>62</v>
      </c>
      <c r="B75" s="499">
        <f>Распределение!B74</f>
        <v>0</v>
      </c>
      <c r="C75" s="499">
        <f>Распределение!L74</f>
        <v>0</v>
      </c>
      <c r="D75" s="500">
        <f>Распределение!M74</f>
        <v>0</v>
      </c>
      <c r="E75" s="500">
        <f>IFERROR((IF($C$9="1 квартал",Премирование!$H84,IF($C$9="2 квартал",Премирование!$K84,IF($C$9="3 квартал",Премирование!$N84,IF($C$9="1 полугодие",Премирование!$H84+Премирование!$K84,IF($C$9="год",Премирование!$O84)))))),"-")</f>
        <v>0</v>
      </c>
    </row>
    <row r="76" spans="1:5" hidden="1" outlineLevel="1" x14ac:dyDescent="0.3">
      <c r="A76" s="626">
        <v>63</v>
      </c>
      <c r="B76" s="499">
        <f>Распределение!B75</f>
        <v>0</v>
      </c>
      <c r="C76" s="499">
        <f>Распределение!L75</f>
        <v>0</v>
      </c>
      <c r="D76" s="500">
        <f>Распределение!M75</f>
        <v>0</v>
      </c>
      <c r="E76" s="500">
        <f>IFERROR((IF($C$9="1 квартал",Премирование!$H85,IF($C$9="2 квартал",Премирование!$K85,IF($C$9="3 квартал",Премирование!$N85,IF($C$9="1 полугодие",Премирование!$H85+Премирование!$K85,IF($C$9="год",Премирование!$O85)))))),"-")</f>
        <v>0</v>
      </c>
    </row>
    <row r="77" spans="1:5" hidden="1" outlineLevel="1" x14ac:dyDescent="0.3">
      <c r="A77" s="626">
        <v>64</v>
      </c>
      <c r="B77" s="499">
        <f>Распределение!B76</f>
        <v>0</v>
      </c>
      <c r="C77" s="499">
        <f>Распределение!L76</f>
        <v>0</v>
      </c>
      <c r="D77" s="500">
        <f>Распределение!M76</f>
        <v>0</v>
      </c>
      <c r="E77" s="500">
        <f>IFERROR((IF($C$9="1 квартал",Премирование!$H86,IF($C$9="2 квартал",Премирование!$K86,IF($C$9="3 квартал",Премирование!$N86,IF($C$9="1 полугодие",Премирование!$H86+Премирование!$K86,IF($C$9="год",Премирование!$O86)))))),"-")</f>
        <v>0</v>
      </c>
    </row>
    <row r="78" spans="1:5" hidden="1" outlineLevel="1" x14ac:dyDescent="0.3">
      <c r="A78" s="626">
        <v>65</v>
      </c>
      <c r="B78" s="499">
        <f>Распределение!B77</f>
        <v>0</v>
      </c>
      <c r="C78" s="499">
        <f>Распределение!L77</f>
        <v>0</v>
      </c>
      <c r="D78" s="500">
        <f>Распределение!M77</f>
        <v>0</v>
      </c>
      <c r="E78" s="500">
        <f>IFERROR((IF($C$9="1 квартал",Премирование!$H87,IF($C$9="2 квартал",Премирование!$K87,IF($C$9="3 квартал",Премирование!$N87,IF($C$9="1 полугодие",Премирование!$H87+Премирование!$K87,IF($C$9="год",Премирование!$O87)))))),"-")</f>
        <v>0</v>
      </c>
    </row>
    <row r="79" spans="1:5" hidden="1" outlineLevel="1" x14ac:dyDescent="0.3">
      <c r="A79" s="626">
        <v>66</v>
      </c>
      <c r="B79" s="499">
        <f>Распределение!B78</f>
        <v>0</v>
      </c>
      <c r="C79" s="499">
        <f>Распределение!L78</f>
        <v>0</v>
      </c>
      <c r="D79" s="500">
        <f>Распределение!M78</f>
        <v>0</v>
      </c>
      <c r="E79" s="500">
        <f>IFERROR((IF($C$9="1 квартал",Премирование!$H88,IF($C$9="2 квартал",Премирование!$K88,IF($C$9="3 квартал",Премирование!$N88,IF($C$9="1 полугодие",Премирование!$H88+Премирование!$K88,IF($C$9="год",Премирование!$O88)))))),"-")</f>
        <v>0</v>
      </c>
    </row>
    <row r="80" spans="1:5" hidden="1" outlineLevel="1" x14ac:dyDescent="0.3">
      <c r="A80" s="626">
        <v>67</v>
      </c>
      <c r="B80" s="499">
        <f>Распределение!B79</f>
        <v>0</v>
      </c>
      <c r="C80" s="499">
        <f>Распределение!L79</f>
        <v>0</v>
      </c>
      <c r="D80" s="500">
        <f>Распределение!M79</f>
        <v>0</v>
      </c>
      <c r="E80" s="500">
        <f>IFERROR((IF($C$9="1 квартал",Премирование!$H89,IF($C$9="2 квартал",Премирование!$K89,IF($C$9="3 квартал",Премирование!$N89,IF($C$9="1 полугодие",Премирование!$H89+Премирование!$K89,IF($C$9="год",Премирование!$O89)))))),"-")</f>
        <v>0</v>
      </c>
    </row>
    <row r="81" spans="1:5" hidden="1" outlineLevel="1" x14ac:dyDescent="0.3">
      <c r="A81" s="626">
        <v>68</v>
      </c>
      <c r="B81" s="499">
        <f>Распределение!B80</f>
        <v>0</v>
      </c>
      <c r="C81" s="499">
        <f>Распределение!L80</f>
        <v>0</v>
      </c>
      <c r="D81" s="500">
        <f>Распределение!M80</f>
        <v>0</v>
      </c>
      <c r="E81" s="500">
        <f>IFERROR((IF($C$9="1 квартал",Премирование!$H90,IF($C$9="2 квартал",Премирование!$K90,IF($C$9="3 квартал",Премирование!$N90,IF($C$9="1 полугодие",Премирование!$H90+Премирование!$K90,IF($C$9="год",Премирование!$O90)))))),"-")</f>
        <v>0</v>
      </c>
    </row>
    <row r="82" spans="1:5" hidden="1" outlineLevel="1" x14ac:dyDescent="0.3">
      <c r="A82" s="626">
        <v>69</v>
      </c>
      <c r="B82" s="499">
        <f>Распределение!B81</f>
        <v>0</v>
      </c>
      <c r="C82" s="499">
        <f>Распределение!L81</f>
        <v>0</v>
      </c>
      <c r="D82" s="500">
        <f>Распределение!M81</f>
        <v>0</v>
      </c>
      <c r="E82" s="500">
        <f>IFERROR((IF($C$9="1 квартал",Премирование!$H91,IF($C$9="2 квартал",Премирование!$K91,IF($C$9="3 квартал",Премирование!$N91,IF($C$9="1 полугодие",Премирование!$H91+Премирование!$K91,IF($C$9="год",Премирование!$O91)))))),"-")</f>
        <v>0</v>
      </c>
    </row>
    <row r="83" spans="1:5" hidden="1" outlineLevel="1" x14ac:dyDescent="0.3">
      <c r="A83" s="626">
        <v>70</v>
      </c>
      <c r="B83" s="499">
        <f>Распределение!B82</f>
        <v>0</v>
      </c>
      <c r="C83" s="499">
        <f>Распределение!L82</f>
        <v>0</v>
      </c>
      <c r="D83" s="500">
        <f>Распределение!M82</f>
        <v>0</v>
      </c>
      <c r="E83" s="500">
        <f>IFERROR((IF($C$9="1 квартал",Премирование!$H92,IF($C$9="2 квартал",Премирование!$K92,IF($C$9="3 квартал",Премирование!$N92,IF($C$9="1 полугодие",Премирование!$H92+Премирование!$K92,IF($C$9="год",Премирование!$O92)))))),"-")</f>
        <v>0</v>
      </c>
    </row>
    <row r="84" spans="1:5" hidden="1" outlineLevel="1" x14ac:dyDescent="0.3">
      <c r="A84" s="626">
        <v>71</v>
      </c>
      <c r="B84" s="499">
        <f>Распределение!B83</f>
        <v>0</v>
      </c>
      <c r="C84" s="499">
        <f>Распределение!L83</f>
        <v>0</v>
      </c>
      <c r="D84" s="500">
        <f>Распределение!M83</f>
        <v>0</v>
      </c>
      <c r="E84" s="500">
        <f>IFERROR((IF($C$9="1 квартал",Премирование!$H93,IF($C$9="2 квартал",Премирование!$K93,IF($C$9="3 квартал",Премирование!$N93,IF($C$9="1 полугодие",Премирование!$H93+Премирование!$K93,IF($C$9="год",Премирование!$O93)))))),"-")</f>
        <v>0</v>
      </c>
    </row>
    <row r="85" spans="1:5" hidden="1" outlineLevel="1" x14ac:dyDescent="0.3">
      <c r="A85" s="626">
        <v>72</v>
      </c>
      <c r="B85" s="499">
        <f>Распределение!B84</f>
        <v>0</v>
      </c>
      <c r="C85" s="499">
        <f>Распределение!L84</f>
        <v>0</v>
      </c>
      <c r="D85" s="500">
        <f>Распределение!M84</f>
        <v>0</v>
      </c>
      <c r="E85" s="500">
        <f>IFERROR((IF($C$9="1 квартал",Премирование!$H94,IF($C$9="2 квартал",Премирование!$K94,IF($C$9="3 квартал",Премирование!$N94,IF($C$9="1 полугодие",Премирование!$H94+Премирование!$K94,IF($C$9="год",Премирование!$O94)))))),"-")</f>
        <v>0</v>
      </c>
    </row>
    <row r="86" spans="1:5" hidden="1" outlineLevel="1" x14ac:dyDescent="0.3">
      <c r="A86" s="626">
        <v>73</v>
      </c>
      <c r="B86" s="499">
        <f>Распределение!B85</f>
        <v>0</v>
      </c>
      <c r="C86" s="499">
        <f>Распределение!L85</f>
        <v>0</v>
      </c>
      <c r="D86" s="500">
        <f>Распределение!M85</f>
        <v>0</v>
      </c>
      <c r="E86" s="500">
        <f>IFERROR((IF($C$9="1 квартал",Премирование!$H95,IF($C$9="2 квартал",Премирование!$K95,IF($C$9="3 квартал",Премирование!$N95,IF($C$9="1 полугодие",Премирование!$H95+Премирование!$K95,IF($C$9="год",Премирование!$O95)))))),"-")</f>
        <v>0</v>
      </c>
    </row>
    <row r="87" spans="1:5" hidden="1" outlineLevel="1" x14ac:dyDescent="0.3">
      <c r="A87" s="626">
        <v>74</v>
      </c>
      <c r="B87" s="499">
        <f>Распределение!B86</f>
        <v>0</v>
      </c>
      <c r="C87" s="499">
        <f>Распределение!L86</f>
        <v>0</v>
      </c>
      <c r="D87" s="500">
        <f>Распределение!M86</f>
        <v>0</v>
      </c>
      <c r="E87" s="500">
        <f>IFERROR((IF($C$9="1 квартал",Премирование!$H96,IF($C$9="2 квартал",Премирование!$K96,IF($C$9="3 квартал",Премирование!$N96,IF($C$9="1 полугодие",Премирование!$H96+Премирование!$K96,IF($C$9="год",Премирование!$O96)))))),"-")</f>
        <v>0</v>
      </c>
    </row>
    <row r="88" spans="1:5" hidden="1" outlineLevel="1" x14ac:dyDescent="0.3">
      <c r="A88" s="626">
        <v>75</v>
      </c>
      <c r="B88" s="499">
        <f>Распределение!B87</f>
        <v>0</v>
      </c>
      <c r="C88" s="499">
        <f>Распределение!L87</f>
        <v>0</v>
      </c>
      <c r="D88" s="500">
        <f>Распределение!M87</f>
        <v>0</v>
      </c>
      <c r="E88" s="500">
        <f>IFERROR((IF($C$9="1 квартал",Премирование!$H97,IF($C$9="2 квартал",Премирование!$K97,IF($C$9="3 квартал",Премирование!$N97,IF($C$9="1 полугодие",Премирование!$H97+Премирование!$K97,IF($C$9="год",Премирование!$O97)))))),"-")</f>
        <v>0</v>
      </c>
    </row>
    <row r="89" spans="1:5" hidden="1" outlineLevel="1" x14ac:dyDescent="0.3">
      <c r="A89" s="626">
        <v>76</v>
      </c>
      <c r="B89" s="499">
        <f>Распределение!B88</f>
        <v>0</v>
      </c>
      <c r="C89" s="499">
        <f>Распределение!L88</f>
        <v>0</v>
      </c>
      <c r="D89" s="500">
        <f>Распределение!M88</f>
        <v>0</v>
      </c>
      <c r="E89" s="500">
        <f>IFERROR((IF($C$9="1 квартал",Премирование!$H98,IF($C$9="2 квартал",Премирование!$K98,IF($C$9="3 квартал",Премирование!$N98,IF($C$9="1 полугодие",Премирование!$H98+Премирование!$K98,IF($C$9="год",Премирование!$O98)))))),"-")</f>
        <v>0</v>
      </c>
    </row>
    <row r="90" spans="1:5" hidden="1" outlineLevel="1" x14ac:dyDescent="0.3">
      <c r="A90" s="626">
        <v>77</v>
      </c>
      <c r="B90" s="499">
        <f>Распределение!B89</f>
        <v>0</v>
      </c>
      <c r="C90" s="499">
        <f>Распределение!L89</f>
        <v>0</v>
      </c>
      <c r="D90" s="500">
        <f>Распределение!M89</f>
        <v>0</v>
      </c>
      <c r="E90" s="500">
        <f>IFERROR((IF($C$9="1 квартал",Премирование!$H99,IF($C$9="2 квартал",Премирование!$K99,IF($C$9="3 квартал",Премирование!$N99,IF($C$9="1 полугодие",Премирование!$H99+Премирование!$K99,IF($C$9="год",Премирование!$O99)))))),"-")</f>
        <v>0</v>
      </c>
    </row>
    <row r="91" spans="1:5" hidden="1" outlineLevel="1" x14ac:dyDescent="0.3">
      <c r="A91" s="626">
        <v>78</v>
      </c>
      <c r="B91" s="499">
        <f>Распределение!B90</f>
        <v>0</v>
      </c>
      <c r="C91" s="499">
        <f>Распределение!L90</f>
        <v>0</v>
      </c>
      <c r="D91" s="500">
        <f>Распределение!M90</f>
        <v>0</v>
      </c>
      <c r="E91" s="500">
        <f>IFERROR((IF($C$9="1 квартал",Премирование!$H100,IF($C$9="2 квартал",Премирование!$K100,IF($C$9="3 квартал",Премирование!$N100,IF($C$9="1 полугодие",Премирование!$H100+Премирование!$K100,IF($C$9="год",Премирование!$O100)))))),"-")</f>
        <v>0</v>
      </c>
    </row>
    <row r="92" spans="1:5" hidden="1" outlineLevel="1" x14ac:dyDescent="0.3">
      <c r="A92" s="626">
        <v>79</v>
      </c>
      <c r="B92" s="499">
        <f>Распределение!B91</f>
        <v>0</v>
      </c>
      <c r="C92" s="499">
        <f>Распределение!L91</f>
        <v>0</v>
      </c>
      <c r="D92" s="500">
        <f>Распределение!M91</f>
        <v>0</v>
      </c>
      <c r="E92" s="500">
        <f>IFERROR((IF($C$9="1 квартал",Премирование!$H101,IF($C$9="2 квартал",Премирование!$K101,IF($C$9="3 квартал",Премирование!$N101,IF($C$9="1 полугодие",Премирование!$H101+Премирование!$K101,IF($C$9="год",Премирование!$O101)))))),"-")</f>
        <v>0</v>
      </c>
    </row>
    <row r="93" spans="1:5" hidden="1" outlineLevel="1" x14ac:dyDescent="0.3">
      <c r="A93" s="626">
        <v>80</v>
      </c>
      <c r="B93" s="499">
        <f>Распределение!B92</f>
        <v>0</v>
      </c>
      <c r="C93" s="499">
        <f>Распределение!L92</f>
        <v>0</v>
      </c>
      <c r="D93" s="500">
        <f>Распределение!M92</f>
        <v>0</v>
      </c>
      <c r="E93" s="500">
        <f>IFERROR((IF($C$9="1 квартал",Премирование!$H102,IF($C$9="2 квартал",Премирование!$K102,IF($C$9="3 квартал",Премирование!$N102,IF($C$9="1 полугодие",Премирование!$H102+Премирование!$K102,IF($C$9="год",Премирование!$O102)))))),"-")</f>
        <v>0</v>
      </c>
    </row>
    <row r="94" spans="1:5" hidden="1" outlineLevel="1" x14ac:dyDescent="0.3">
      <c r="A94" s="626">
        <v>81</v>
      </c>
      <c r="B94" s="499">
        <f>Распределение!B93</f>
        <v>0</v>
      </c>
      <c r="C94" s="499">
        <f>Распределение!L93</f>
        <v>0</v>
      </c>
      <c r="D94" s="500">
        <f>Распределение!M93</f>
        <v>0</v>
      </c>
      <c r="E94" s="500">
        <f>IFERROR((IF($C$9="1 квартал",Премирование!$H103,IF($C$9="2 квартал",Премирование!$K103,IF($C$9="3 квартал",Премирование!$N103,IF($C$9="1 полугодие",Премирование!$H103+Премирование!$K103,IF($C$9="год",Премирование!$O103)))))),"-")</f>
        <v>0</v>
      </c>
    </row>
    <row r="95" spans="1:5" hidden="1" outlineLevel="1" x14ac:dyDescent="0.3">
      <c r="A95" s="626">
        <v>82</v>
      </c>
      <c r="B95" s="499">
        <f>Распределение!B94</f>
        <v>0</v>
      </c>
      <c r="C95" s="499">
        <f>Распределение!L94</f>
        <v>0</v>
      </c>
      <c r="D95" s="500">
        <f>Распределение!M94</f>
        <v>0</v>
      </c>
      <c r="E95" s="500">
        <f>IFERROR((IF($C$9="1 квартал",Премирование!$H104,IF($C$9="2 квартал",Премирование!$K104,IF($C$9="3 квартал",Премирование!$N104,IF($C$9="1 полугодие",Премирование!$H104+Премирование!$K104,IF($C$9="год",Премирование!$O104)))))),"-")</f>
        <v>0</v>
      </c>
    </row>
    <row r="96" spans="1:5" hidden="1" outlineLevel="1" x14ac:dyDescent="0.3">
      <c r="A96" s="626">
        <v>83</v>
      </c>
      <c r="B96" s="499">
        <f>Распределение!B95</f>
        <v>0</v>
      </c>
      <c r="C96" s="499">
        <f>Распределение!L95</f>
        <v>0</v>
      </c>
      <c r="D96" s="500">
        <f>Распределение!M95</f>
        <v>0</v>
      </c>
      <c r="E96" s="500">
        <f>IFERROR((IF($C$9="1 квартал",Премирование!$H105,IF($C$9="2 квартал",Премирование!$K105,IF($C$9="3 квартал",Премирование!$N105,IF($C$9="1 полугодие",Премирование!$H105+Премирование!$K105,IF($C$9="год",Премирование!$O105)))))),"-")</f>
        <v>0</v>
      </c>
    </row>
    <row r="97" spans="1:5" hidden="1" outlineLevel="1" x14ac:dyDescent="0.3">
      <c r="A97" s="626">
        <v>84</v>
      </c>
      <c r="B97" s="499">
        <f>Распределение!B96</f>
        <v>0</v>
      </c>
      <c r="C97" s="499">
        <f>Распределение!L96</f>
        <v>0</v>
      </c>
      <c r="D97" s="500">
        <f>Распределение!M96</f>
        <v>0</v>
      </c>
      <c r="E97" s="500">
        <f>IFERROR((IF($C$9="1 квартал",Премирование!$H106,IF($C$9="2 квартал",Премирование!$K106,IF($C$9="3 квартал",Премирование!$N106,IF($C$9="1 полугодие",Премирование!$H106+Премирование!$K106,IF($C$9="год",Премирование!$O106)))))),"-")</f>
        <v>0</v>
      </c>
    </row>
    <row r="98" spans="1:5" hidden="1" outlineLevel="1" x14ac:dyDescent="0.3">
      <c r="A98" s="626">
        <v>85</v>
      </c>
      <c r="B98" s="499">
        <f>Распределение!B97</f>
        <v>0</v>
      </c>
      <c r="C98" s="499">
        <f>Распределение!L97</f>
        <v>0</v>
      </c>
      <c r="D98" s="500">
        <f>Распределение!M97</f>
        <v>0</v>
      </c>
      <c r="E98" s="500">
        <f>IFERROR((IF($C$9="1 квартал",Премирование!$H107,IF($C$9="2 квартал",Премирование!$K107,IF($C$9="3 квартал",Премирование!$N107,IF($C$9="1 полугодие",Премирование!$H107+Премирование!$K107,IF($C$9="год",Премирование!$O107)))))),"-")</f>
        <v>0</v>
      </c>
    </row>
    <row r="99" spans="1:5" hidden="1" outlineLevel="1" x14ac:dyDescent="0.3">
      <c r="A99" s="626">
        <v>86</v>
      </c>
      <c r="B99" s="499">
        <f>Распределение!B98</f>
        <v>0</v>
      </c>
      <c r="C99" s="499">
        <f>Распределение!L98</f>
        <v>0</v>
      </c>
      <c r="D99" s="500">
        <f>Распределение!M98</f>
        <v>0</v>
      </c>
      <c r="E99" s="500">
        <f>IFERROR((IF($C$9="1 квартал",Премирование!$H108,IF($C$9="2 квартал",Премирование!$K108,IF($C$9="3 квартал",Премирование!$N108,IF($C$9="1 полугодие",Премирование!$H108+Премирование!$K108,IF($C$9="год",Премирование!$O108)))))),"-")</f>
        <v>0</v>
      </c>
    </row>
    <row r="100" spans="1:5" hidden="1" outlineLevel="1" x14ac:dyDescent="0.3">
      <c r="A100" s="626">
        <v>87</v>
      </c>
      <c r="B100" s="499">
        <f>Распределение!B99</f>
        <v>0</v>
      </c>
      <c r="C100" s="499">
        <f>Распределение!L99</f>
        <v>0</v>
      </c>
      <c r="D100" s="500">
        <f>Распределение!M99</f>
        <v>0</v>
      </c>
      <c r="E100" s="500">
        <f>IFERROR((IF($C$9="1 квартал",Премирование!$H109,IF($C$9="2 квартал",Премирование!$K109,IF($C$9="3 квартал",Премирование!$N109,IF($C$9="1 полугодие",Премирование!$H109+Премирование!$K109,IF($C$9="год",Премирование!$O109)))))),"-")</f>
        <v>0</v>
      </c>
    </row>
    <row r="101" spans="1:5" hidden="1" outlineLevel="1" x14ac:dyDescent="0.3">
      <c r="A101" s="626">
        <v>88</v>
      </c>
      <c r="B101" s="499">
        <f>Распределение!B100</f>
        <v>0</v>
      </c>
      <c r="C101" s="499">
        <f>Распределение!L100</f>
        <v>0</v>
      </c>
      <c r="D101" s="500">
        <f>Распределение!M100</f>
        <v>0</v>
      </c>
      <c r="E101" s="500">
        <f>IFERROR((IF($C$9="1 квартал",Премирование!$H110,IF($C$9="2 квартал",Премирование!$K110,IF($C$9="3 квартал",Премирование!$N110,IF($C$9="1 полугодие",Премирование!$H110+Премирование!$K110,IF($C$9="год",Премирование!$O110)))))),"-")</f>
        <v>0</v>
      </c>
    </row>
    <row r="102" spans="1:5" hidden="1" outlineLevel="1" x14ac:dyDescent="0.3">
      <c r="A102" s="626">
        <v>89</v>
      </c>
      <c r="B102" s="499">
        <f>Распределение!B101</f>
        <v>0</v>
      </c>
      <c r="C102" s="499">
        <f>Распределение!L101</f>
        <v>0</v>
      </c>
      <c r="D102" s="500">
        <f>Распределение!M101</f>
        <v>0</v>
      </c>
      <c r="E102" s="500">
        <f>IFERROR((IF($C$9="1 квартал",Премирование!$H111,IF($C$9="2 квартал",Премирование!$K111,IF($C$9="3 квартал",Премирование!$N111,IF($C$9="1 полугодие",Премирование!$H111+Премирование!$K111,IF($C$9="год",Премирование!$O111)))))),"-")</f>
        <v>0</v>
      </c>
    </row>
    <row r="103" spans="1:5" hidden="1" outlineLevel="1" x14ac:dyDescent="0.3">
      <c r="A103" s="626">
        <v>90</v>
      </c>
      <c r="B103" s="499">
        <f>Распределение!B102</f>
        <v>0</v>
      </c>
      <c r="C103" s="499">
        <f>Распределение!L102</f>
        <v>0</v>
      </c>
      <c r="D103" s="500">
        <f>Распределение!M102</f>
        <v>0</v>
      </c>
      <c r="E103" s="500">
        <f>IFERROR((IF($C$9="1 квартал",Премирование!$H112,IF($C$9="2 квартал",Премирование!$K112,IF($C$9="3 квартал",Премирование!$N112,IF($C$9="1 полугодие",Премирование!$H112+Премирование!$K112,IF($C$9="год",Премирование!$O112)))))),"-")</f>
        <v>0</v>
      </c>
    </row>
    <row r="104" spans="1:5" hidden="1" outlineLevel="1" x14ac:dyDescent="0.3">
      <c r="A104" s="626">
        <v>91</v>
      </c>
      <c r="B104" s="499">
        <f>Распределение!B103</f>
        <v>0</v>
      </c>
      <c r="C104" s="499">
        <f>Распределение!L103</f>
        <v>0</v>
      </c>
      <c r="D104" s="500">
        <f>Распределение!M103</f>
        <v>0</v>
      </c>
      <c r="E104" s="500">
        <f>IFERROR((IF($C$9="1 квартал",Премирование!$H113,IF($C$9="2 квартал",Премирование!$K113,IF($C$9="3 квартал",Премирование!$N113,IF($C$9="1 полугодие",Премирование!$H113+Премирование!$K113,IF($C$9="год",Премирование!$O113)))))),"-")</f>
        <v>0</v>
      </c>
    </row>
    <row r="105" spans="1:5" hidden="1" outlineLevel="1" x14ac:dyDescent="0.3">
      <c r="A105" s="626">
        <v>92</v>
      </c>
      <c r="B105" s="499">
        <f>Распределение!B104</f>
        <v>0</v>
      </c>
      <c r="C105" s="499">
        <f>Распределение!L104</f>
        <v>0</v>
      </c>
      <c r="D105" s="500">
        <f>Распределение!M104</f>
        <v>0</v>
      </c>
      <c r="E105" s="500">
        <f>IFERROR((IF($C$9="1 квартал",Премирование!$H114,IF($C$9="2 квартал",Премирование!$K114,IF($C$9="3 квартал",Премирование!$N114,IF($C$9="1 полугодие",Премирование!$H114+Премирование!$K114,IF($C$9="год",Премирование!$O114)))))),"-")</f>
        <v>0</v>
      </c>
    </row>
    <row r="106" spans="1:5" hidden="1" outlineLevel="1" x14ac:dyDescent="0.3">
      <c r="A106" s="626">
        <v>93</v>
      </c>
      <c r="B106" s="499">
        <f>Распределение!B105</f>
        <v>0</v>
      </c>
      <c r="C106" s="499">
        <f>Распределение!L105</f>
        <v>0</v>
      </c>
      <c r="D106" s="500">
        <f>Распределение!M105</f>
        <v>0</v>
      </c>
      <c r="E106" s="500">
        <f>IFERROR((IF($C$9="1 квартал",Премирование!$H115,IF($C$9="2 квартал",Премирование!$K115,IF($C$9="3 квартал",Премирование!$N115,IF($C$9="1 полугодие",Премирование!$H115+Премирование!$K115,IF($C$9="год",Премирование!$O115)))))),"-")</f>
        <v>0</v>
      </c>
    </row>
    <row r="107" spans="1:5" hidden="1" outlineLevel="1" x14ac:dyDescent="0.3">
      <c r="A107" s="626">
        <v>94</v>
      </c>
      <c r="B107" s="499">
        <f>Распределение!B106</f>
        <v>0</v>
      </c>
      <c r="C107" s="499">
        <f>Распределение!L106</f>
        <v>0</v>
      </c>
      <c r="D107" s="500">
        <f>Распределение!M106</f>
        <v>0</v>
      </c>
      <c r="E107" s="500">
        <f>IFERROR((IF($C$9="1 квартал",Премирование!$H116,IF($C$9="2 квартал",Премирование!$K116,IF($C$9="3 квартал",Премирование!$N116,IF($C$9="1 полугодие",Премирование!$H116+Премирование!$K116,IF($C$9="год",Премирование!$O116)))))),"-")</f>
        <v>0</v>
      </c>
    </row>
    <row r="108" spans="1:5" hidden="1" outlineLevel="1" x14ac:dyDescent="0.3">
      <c r="A108" s="626">
        <v>95</v>
      </c>
      <c r="B108" s="499">
        <f>Распределение!B107</f>
        <v>0</v>
      </c>
      <c r="C108" s="499">
        <f>Распределение!L107</f>
        <v>0</v>
      </c>
      <c r="D108" s="500">
        <f>Распределение!M107</f>
        <v>0</v>
      </c>
      <c r="E108" s="500">
        <f>IFERROR((IF($C$9="1 квартал",Премирование!$H117,IF($C$9="2 квартал",Премирование!$K117,IF($C$9="3 квартал",Премирование!$N117,IF($C$9="1 полугодие",Премирование!$H117+Премирование!$K117,IF($C$9="год",Премирование!$O117)))))),"-")</f>
        <v>0</v>
      </c>
    </row>
    <row r="109" spans="1:5" hidden="1" outlineLevel="1" x14ac:dyDescent="0.3">
      <c r="A109" s="626">
        <v>96</v>
      </c>
      <c r="B109" s="499">
        <f>Распределение!B108</f>
        <v>0</v>
      </c>
      <c r="C109" s="499">
        <f>Распределение!L108</f>
        <v>0</v>
      </c>
      <c r="D109" s="500">
        <f>Распределение!M108</f>
        <v>0</v>
      </c>
      <c r="E109" s="500">
        <f>IFERROR((IF($C$9="1 квартал",Премирование!$H118,IF($C$9="2 квартал",Премирование!$K118,IF($C$9="3 квартал",Премирование!$N118,IF($C$9="1 полугодие",Премирование!$H118+Премирование!$K118,IF($C$9="год",Премирование!$O118)))))),"-")</f>
        <v>0</v>
      </c>
    </row>
    <row r="110" spans="1:5" hidden="1" outlineLevel="1" x14ac:dyDescent="0.3">
      <c r="A110" s="626">
        <v>97</v>
      </c>
      <c r="B110" s="499">
        <f>Распределение!B109</f>
        <v>0</v>
      </c>
      <c r="C110" s="499">
        <f>Распределение!L109</f>
        <v>0</v>
      </c>
      <c r="D110" s="500">
        <f>Распределение!M109</f>
        <v>0</v>
      </c>
      <c r="E110" s="500">
        <f>IFERROR((IF($C$9="1 квартал",Премирование!$H119,IF($C$9="2 квартал",Премирование!$K119,IF($C$9="3 квартал",Премирование!$N119,IF($C$9="1 полугодие",Премирование!$H119+Премирование!$K119,IF($C$9="год",Премирование!$O119)))))),"-")</f>
        <v>0</v>
      </c>
    </row>
    <row r="111" spans="1:5" hidden="1" outlineLevel="1" x14ac:dyDescent="0.3">
      <c r="A111" s="626">
        <v>98</v>
      </c>
      <c r="B111" s="499">
        <f>Распределение!B110</f>
        <v>0</v>
      </c>
      <c r="C111" s="499">
        <f>Распределение!L110</f>
        <v>0</v>
      </c>
      <c r="D111" s="500">
        <f>Распределение!M110</f>
        <v>0</v>
      </c>
      <c r="E111" s="500">
        <f>IFERROR((IF($C$9="1 квартал",Премирование!$H120,IF($C$9="2 квартал",Премирование!$K120,IF($C$9="3 квартал",Премирование!$N120,IF($C$9="1 полугодие",Премирование!$H120+Премирование!$K120,IF($C$9="год",Премирование!$O120)))))),"-")</f>
        <v>0</v>
      </c>
    </row>
    <row r="112" spans="1:5" hidden="1" outlineLevel="1" x14ac:dyDescent="0.3">
      <c r="A112" s="626">
        <v>99</v>
      </c>
      <c r="B112" s="499">
        <f>Распределение!B111</f>
        <v>0</v>
      </c>
      <c r="C112" s="499">
        <f>Распределение!L111</f>
        <v>0</v>
      </c>
      <c r="D112" s="500">
        <f>Распределение!M111</f>
        <v>0</v>
      </c>
      <c r="E112" s="500">
        <f>IFERROR((IF($C$9="1 квартал",Премирование!$H121,IF($C$9="2 квартал",Премирование!$K121,IF($C$9="3 квартал",Премирование!$N121,IF($C$9="1 полугодие",Премирование!$H121+Премирование!$K121,IF($C$9="год",Премирование!$O121)))))),"-")</f>
        <v>0</v>
      </c>
    </row>
    <row r="113" spans="1:5" hidden="1" x14ac:dyDescent="0.3">
      <c r="A113" s="626">
        <v>100</v>
      </c>
      <c r="B113" s="499">
        <f>Распределение!B112</f>
        <v>0</v>
      </c>
      <c r="C113" s="499">
        <f>Распределение!L112</f>
        <v>0</v>
      </c>
      <c r="D113" s="500">
        <f>Распределение!M112</f>
        <v>0</v>
      </c>
      <c r="E113" s="500">
        <f>IFERROR((IF($C$9="1 квартал",Премирование!$H122,IF($C$9="2 квартал",Премирование!$K122,IF($C$9="3 квартал",Премирование!$N122,IF($C$9="1 полугодие",Премирование!$H122+Премирование!$K122,IF($C$9="год",Премирование!$O122)))))),"-")</f>
        <v>0</v>
      </c>
    </row>
    <row r="114" spans="1:5" x14ac:dyDescent="0.3">
      <c r="A114" s="627"/>
      <c r="B114" s="628"/>
      <c r="C114" s="627"/>
      <c r="D114" s="627"/>
      <c r="E114" s="627"/>
    </row>
    <row r="117" spans="1:5" ht="20.25" x14ac:dyDescent="0.3">
      <c r="B117" s="501" t="s">
        <v>274</v>
      </c>
      <c r="D117" s="842" t="str">
        <f>IFERROR(INDEX('Состав ВТК'!$1:$1048576,MATCH($B$117,'Состав ВТК'!J:J,0),MATCH($D$118,'Состав ВТК'!7:7,0)),"---")</f>
        <v>---</v>
      </c>
      <c r="E117" s="842"/>
    </row>
    <row r="118" spans="1:5" x14ac:dyDescent="0.3">
      <c r="D118" s="808" t="s">
        <v>2</v>
      </c>
      <c r="E118" s="808"/>
    </row>
    <row r="119" spans="1:5" x14ac:dyDescent="0.3">
      <c r="B119" s="516" t="s">
        <v>415</v>
      </c>
      <c r="D119" s="491"/>
      <c r="E119" s="491"/>
    </row>
    <row r="120" spans="1:5" ht="20.25" x14ac:dyDescent="0.3">
      <c r="B120" s="501" t="s">
        <v>191</v>
      </c>
      <c r="D120" s="842" t="str">
        <f>Титул!$B$10</f>
        <v>-</v>
      </c>
      <c r="E120" s="842"/>
    </row>
    <row r="121" spans="1:5" x14ac:dyDescent="0.3">
      <c r="C121" s="491"/>
      <c r="D121" s="808" t="s">
        <v>2</v>
      </c>
      <c r="E121" s="808"/>
    </row>
    <row r="122" spans="1:5" ht="87" customHeight="1" x14ac:dyDescent="0.3">
      <c r="B122" s="379" t="s">
        <v>517</v>
      </c>
      <c r="C122" s="629"/>
      <c r="D122" s="891"/>
      <c r="E122" s="891"/>
    </row>
    <row r="123" spans="1:5" x14ac:dyDescent="0.3">
      <c r="D123" s="808" t="s">
        <v>2</v>
      </c>
      <c r="E123" s="808"/>
    </row>
  </sheetData>
  <sheetProtection password="CF98" sheet="1" formatCells="0" formatColumns="0" formatRows="0"/>
  <mergeCells count="20">
    <mergeCell ref="D118:E118"/>
    <mergeCell ref="D120:E120"/>
    <mergeCell ref="D121:E121"/>
    <mergeCell ref="D122:E122"/>
    <mergeCell ref="D123:E123"/>
    <mergeCell ref="A6:B6"/>
    <mergeCell ref="C6:E6"/>
    <mergeCell ref="A2:E2"/>
    <mergeCell ref="A4:B4"/>
    <mergeCell ref="C4:E4"/>
    <mergeCell ref="A5:B5"/>
    <mergeCell ref="C5:E5"/>
    <mergeCell ref="A13:C13"/>
    <mergeCell ref="D117:E117"/>
    <mergeCell ref="A7:B7"/>
    <mergeCell ref="C7:E7"/>
    <mergeCell ref="A8:B8"/>
    <mergeCell ref="C8:E8"/>
    <mergeCell ref="A9:B9"/>
    <mergeCell ref="C9:E9"/>
  </mergeCells>
  <printOptions horizontalCentered="1"/>
  <pageMargins left="0.31496062992125984" right="0.31496062992125984" top="0.74803149606299213" bottom="0.74803149606299213" header="0" footer="0"/>
  <pageSetup paperSize="9" scale="6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справочник!D2:D8</xm:f>
          </x14:formula1>
          <xm:sqref>C9:E9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1"/>
  <sheetViews>
    <sheetView view="pageBreakPreview" topLeftCell="A22" zoomScale="70" zoomScaleNormal="70" zoomScaleSheetLayoutView="70" workbookViewId="0">
      <selection activeCell="F25" sqref="F25"/>
    </sheetView>
  </sheetViews>
  <sheetFormatPr defaultColWidth="9.140625" defaultRowHeight="15" x14ac:dyDescent="0.25"/>
  <cols>
    <col min="1" max="1" width="8" style="532" customWidth="1"/>
    <col min="2" max="2" width="9" style="1" customWidth="1"/>
    <col min="3" max="3" width="69.7109375" style="1" customWidth="1"/>
    <col min="4" max="4" width="20.5703125" style="1" customWidth="1"/>
    <col min="5" max="5" width="21.140625" style="1" customWidth="1"/>
    <col min="6" max="6" width="36.42578125" style="1" customWidth="1"/>
    <col min="7" max="7" width="12" style="1" bestFit="1" customWidth="1"/>
    <col min="8" max="9" width="13.85546875" style="1" bestFit="1" customWidth="1"/>
    <col min="10" max="10" width="41.140625" style="1" customWidth="1"/>
    <col min="11" max="16384" width="9.140625" style="1"/>
  </cols>
  <sheetData>
    <row r="1" spans="1:12" s="25" customFormat="1" ht="20.25" x14ac:dyDescent="0.25">
      <c r="A1" s="525"/>
      <c r="E1" s="894" t="s">
        <v>20</v>
      </c>
      <c r="F1" s="894"/>
    </row>
    <row r="2" spans="1:12" s="25" customFormat="1" ht="41.25" customHeight="1" x14ac:dyDescent="0.25">
      <c r="A2" s="525"/>
      <c r="E2" s="892" t="s">
        <v>417</v>
      </c>
      <c r="F2" s="892"/>
    </row>
    <row r="3" spans="1:12" s="25" customFormat="1" ht="20.25" x14ac:dyDescent="0.25">
      <c r="A3" s="525"/>
      <c r="E3" s="895" t="s">
        <v>651</v>
      </c>
      <c r="F3" s="895"/>
    </row>
    <row r="4" spans="1:12" s="25" customFormat="1" ht="18.75" x14ac:dyDescent="0.25">
      <c r="A4" s="525"/>
      <c r="F4" s="64"/>
      <c r="J4" s="24"/>
      <c r="K4" s="24"/>
      <c r="L4" s="24"/>
    </row>
    <row r="5" spans="1:12" s="25" customFormat="1" ht="18.75" x14ac:dyDescent="0.25">
      <c r="A5" s="525"/>
      <c r="E5" s="810" t="s">
        <v>24</v>
      </c>
      <c r="F5" s="810"/>
      <c r="J5" s="24"/>
      <c r="K5" s="24"/>
      <c r="L5" s="24"/>
    </row>
    <row r="6" spans="1:12" s="25" customFormat="1" ht="18.75" x14ac:dyDescent="0.25">
      <c r="A6" s="525"/>
      <c r="F6" s="64"/>
      <c r="J6" s="24"/>
      <c r="K6" s="24"/>
      <c r="L6" s="24"/>
    </row>
    <row r="7" spans="1:12" s="25" customFormat="1" ht="45" customHeight="1" x14ac:dyDescent="0.25">
      <c r="A7" s="525"/>
      <c r="B7" s="896" t="s">
        <v>231</v>
      </c>
      <c r="C7" s="896"/>
      <c r="D7" s="896"/>
      <c r="E7" s="896"/>
      <c r="F7" s="896"/>
      <c r="J7" s="329"/>
      <c r="K7" s="526"/>
      <c r="L7" s="526"/>
    </row>
    <row r="8" spans="1:12" s="25" customFormat="1" ht="20.25" x14ac:dyDescent="0.25">
      <c r="A8" s="525"/>
      <c r="B8" s="527"/>
      <c r="C8" s="527"/>
      <c r="D8" s="527"/>
      <c r="E8" s="527"/>
      <c r="F8" s="527"/>
      <c r="J8" s="329"/>
    </row>
    <row r="9" spans="1:12" s="25" customFormat="1" ht="20.25" x14ac:dyDescent="0.3">
      <c r="A9" s="525"/>
      <c r="B9" s="528"/>
      <c r="C9" s="529" t="s">
        <v>228</v>
      </c>
      <c r="D9" s="892">
        <f>IFERROR(Титул!$B$5,"-")</f>
        <v>0</v>
      </c>
      <c r="E9" s="892"/>
      <c r="F9" s="892"/>
    </row>
    <row r="10" spans="1:12" s="25" customFormat="1" ht="83.25" customHeight="1" x14ac:dyDescent="0.3">
      <c r="A10" s="525"/>
      <c r="B10" s="528"/>
      <c r="C10" s="529" t="s">
        <v>84</v>
      </c>
      <c r="D10" s="892" t="str">
        <f>IFERROR(Титул!$B$6,"-")</f>
        <v>-</v>
      </c>
      <c r="E10" s="892"/>
      <c r="F10" s="892"/>
    </row>
    <row r="11" spans="1:12" s="25" customFormat="1" ht="34.5" customHeight="1" x14ac:dyDescent="0.3">
      <c r="A11" s="525"/>
      <c r="B11" s="528"/>
      <c r="C11" s="529" t="s">
        <v>212</v>
      </c>
      <c r="D11" s="892" t="str">
        <f>Титул!$B$7</f>
        <v>-</v>
      </c>
      <c r="E11" s="892"/>
      <c r="F11" s="892"/>
    </row>
    <row r="12" spans="1:12" s="25" customFormat="1" ht="55.5" customHeight="1" x14ac:dyDescent="0.3">
      <c r="A12" s="525"/>
      <c r="B12" s="528"/>
      <c r="C12" s="529" t="s">
        <v>211</v>
      </c>
      <c r="D12" s="892" t="str">
        <f>Титул!$B$9</f>
        <v>-</v>
      </c>
      <c r="E12" s="892"/>
      <c r="F12" s="892"/>
    </row>
    <row r="13" spans="1:12" s="25" customFormat="1" ht="37.5" customHeight="1" x14ac:dyDescent="0.3">
      <c r="A13" s="525"/>
      <c r="B13" s="528"/>
      <c r="C13" s="529" t="s">
        <v>213</v>
      </c>
      <c r="D13" s="892" t="str">
        <f>IF($D$11="Прикладная научно-исследовательская работа",справочник!$Q$3,справочник!$Q$2)</f>
        <v>Субсидия на выполнение государственного задания 0110 (ФНИ)</v>
      </c>
      <c r="E13" s="892"/>
      <c r="F13" s="892"/>
    </row>
    <row r="14" spans="1:12" s="25" customFormat="1" ht="18.75" x14ac:dyDescent="0.25">
      <c r="A14" s="525"/>
      <c r="B14" s="893"/>
      <c r="C14" s="893"/>
      <c r="D14" s="893"/>
      <c r="E14" s="893"/>
      <c r="F14" s="893"/>
    </row>
    <row r="15" spans="1:12" s="530" customFormat="1" ht="35.25" customHeight="1" x14ac:dyDescent="0.25">
      <c r="B15" s="313" t="s">
        <v>0</v>
      </c>
      <c r="C15" s="313" t="s">
        <v>1</v>
      </c>
      <c r="D15" s="314" t="s">
        <v>5</v>
      </c>
      <c r="E15" s="314" t="s">
        <v>6</v>
      </c>
      <c r="F15" s="531" t="s">
        <v>265</v>
      </c>
    </row>
    <row r="16" spans="1:12" ht="27.75" customHeight="1" x14ac:dyDescent="0.25">
      <c r="B16" s="152" t="s">
        <v>131</v>
      </c>
      <c r="C16" s="153" t="s">
        <v>180</v>
      </c>
      <c r="D16" s="153"/>
      <c r="E16" s="153"/>
      <c r="F16" s="519">
        <f>ROUND(SUM(F17:F18),2)</f>
        <v>0</v>
      </c>
    </row>
    <row r="17" spans="1:7" ht="27.75" customHeight="1" x14ac:dyDescent="0.25">
      <c r="B17" s="154" t="s">
        <v>132</v>
      </c>
      <c r="C17" s="155" t="s">
        <v>181</v>
      </c>
      <c r="D17" s="709">
        <v>244</v>
      </c>
      <c r="E17" s="709">
        <v>340</v>
      </c>
      <c r="F17" s="520">
        <f>ROUND(SUMIFS(Мат.запасы!$J$6:$J$8,Мат.запасы!$B$6:$B$8,'Смета Реком.'!$B17),2)</f>
        <v>0</v>
      </c>
    </row>
    <row r="18" spans="1:7" ht="27.75" customHeight="1" x14ac:dyDescent="0.25">
      <c r="B18" s="154" t="s">
        <v>133</v>
      </c>
      <c r="C18" s="155" t="s">
        <v>182</v>
      </c>
      <c r="D18" s="709">
        <v>244</v>
      </c>
      <c r="E18" s="709">
        <v>310</v>
      </c>
      <c r="F18" s="520">
        <f>ROUND(SUMIFS(Мат.запасы!$J$6:$J$8,Мат.запасы!$B$6:$B$8,'Смета Реком.'!$B18),2)</f>
        <v>0</v>
      </c>
    </row>
    <row r="19" spans="1:7" ht="31.5" x14ac:dyDescent="0.25">
      <c r="B19" s="152" t="s">
        <v>134</v>
      </c>
      <c r="C19" s="153" t="s">
        <v>13</v>
      </c>
      <c r="D19" s="709"/>
      <c r="E19" s="709"/>
      <c r="F19" s="519">
        <f>ROUND(SUM(F20,F24:F24),2)</f>
        <v>0</v>
      </c>
    </row>
    <row r="20" spans="1:7" ht="37.5" customHeight="1" x14ac:dyDescent="0.25">
      <c r="A20" s="533"/>
      <c r="B20" s="154" t="s">
        <v>137</v>
      </c>
      <c r="C20" s="155" t="s">
        <v>8</v>
      </c>
      <c r="D20" s="709">
        <v>111</v>
      </c>
      <c r="E20" s="709">
        <v>211</v>
      </c>
      <c r="F20" s="519">
        <f>ROUND(SUM(F21:F23),2)</f>
        <v>0</v>
      </c>
    </row>
    <row r="21" spans="1:7" ht="27.75" customHeight="1" x14ac:dyDescent="0.25">
      <c r="A21" s="534"/>
      <c r="B21" s="154" t="s">
        <v>186</v>
      </c>
      <c r="C21" s="315" t="s">
        <v>387</v>
      </c>
      <c r="D21" s="709"/>
      <c r="E21" s="709"/>
      <c r="F21" s="520">
        <f>ROUND(Выплаты!$E$12+Выплаты!$F$12,2)</f>
        <v>0</v>
      </c>
    </row>
    <row r="22" spans="1:7" ht="27.75" customHeight="1" x14ac:dyDescent="0.25">
      <c r="A22" s="534"/>
      <c r="B22" s="154" t="s">
        <v>185</v>
      </c>
      <c r="C22" s="315" t="s">
        <v>223</v>
      </c>
      <c r="D22" s="709"/>
      <c r="E22" s="709"/>
      <c r="F22" s="520">
        <f>ROUND(Выплаты!$G$12+Выплаты!$L$12+Выплаты!$Q$12,2)</f>
        <v>0</v>
      </c>
    </row>
    <row r="23" spans="1:7" ht="27.75" customHeight="1" x14ac:dyDescent="0.25">
      <c r="A23" s="534"/>
      <c r="B23" s="154" t="s">
        <v>187</v>
      </c>
      <c r="C23" s="315" t="s">
        <v>224</v>
      </c>
      <c r="D23" s="709"/>
      <c r="E23" s="709"/>
      <c r="F23" s="520">
        <f>ROUND(Выплаты!V12,2)</f>
        <v>0</v>
      </c>
    </row>
    <row r="24" spans="1:7" ht="47.25" x14ac:dyDescent="0.25">
      <c r="A24" s="316">
        <v>0.30199999999999999</v>
      </c>
      <c r="B24" s="154" t="s">
        <v>188</v>
      </c>
      <c r="C24" s="317" t="s">
        <v>36</v>
      </c>
      <c r="D24" s="709">
        <v>119</v>
      </c>
      <c r="E24" s="709">
        <v>213</v>
      </c>
      <c r="F24" s="564">
        <f>ROUND(F$20*$A24,2)</f>
        <v>0</v>
      </c>
    </row>
    <row r="25" spans="1:7" ht="31.5" x14ac:dyDescent="0.25">
      <c r="B25" s="152" t="s">
        <v>4</v>
      </c>
      <c r="C25" s="153" t="s">
        <v>183</v>
      </c>
      <c r="D25" s="709"/>
      <c r="E25" s="709"/>
      <c r="F25" s="519">
        <f>ROUND(F26+F27,2)</f>
        <v>0</v>
      </c>
    </row>
    <row r="26" spans="1:7" ht="27.75" customHeight="1" x14ac:dyDescent="0.25">
      <c r="B26" s="154" t="s">
        <v>189</v>
      </c>
      <c r="C26" s="155" t="s">
        <v>154</v>
      </c>
      <c r="D26" s="709">
        <v>112</v>
      </c>
      <c r="E26" s="709" t="s">
        <v>184</v>
      </c>
      <c r="F26" s="520">
        <f>ROUND(SUMIFS(Командировочные!$L$5:$L$6,Командировочные!$B$5:$B$6,'Смета Реком.'!$B26),2)</f>
        <v>0</v>
      </c>
    </row>
    <row r="27" spans="1:7" ht="27.75" customHeight="1" x14ac:dyDescent="0.25">
      <c r="B27" s="154" t="s">
        <v>190</v>
      </c>
      <c r="C27" s="155" t="s">
        <v>173</v>
      </c>
      <c r="D27" s="123">
        <v>244</v>
      </c>
      <c r="E27" s="123">
        <v>226</v>
      </c>
      <c r="F27" s="520">
        <f>ROUND(SUMIFS('Прочие расходы'!$J$6:$J$7,'Прочие расходы'!$B$6:$B$7,'Смета Реком.'!$B27),2)</f>
        <v>0</v>
      </c>
    </row>
    <row r="28" spans="1:7" ht="27.75" customHeight="1" x14ac:dyDescent="0.25">
      <c r="A28" s="535"/>
      <c r="B28" s="152" t="s">
        <v>135</v>
      </c>
      <c r="C28" s="153" t="s">
        <v>915</v>
      </c>
      <c r="D28" s="153"/>
      <c r="E28" s="153"/>
      <c r="F28" s="519" t="e">
        <f>ROUND(F29+F30+F31,2)</f>
        <v>#VALUE!</v>
      </c>
    </row>
    <row r="29" spans="1:7" ht="27.75" customHeight="1" x14ac:dyDescent="0.25">
      <c r="B29" s="154" t="s">
        <v>163</v>
      </c>
      <c r="C29" s="318" t="s">
        <v>226</v>
      </c>
      <c r="D29" s="153"/>
      <c r="E29" s="153"/>
      <c r="F29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</row>
    <row r="30" spans="1:7" ht="27.75" customHeight="1" x14ac:dyDescent="0.25">
      <c r="B30" s="154" t="s">
        <v>178</v>
      </c>
      <c r="C30" s="318" t="s">
        <v>227</v>
      </c>
      <c r="D30" s="153"/>
      <c r="E30" s="153"/>
      <c r="F30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</row>
    <row r="31" spans="1:7" ht="27.75" customHeight="1" x14ac:dyDescent="0.25">
      <c r="B31" s="154" t="s">
        <v>230</v>
      </c>
      <c r="C31" s="318" t="s">
        <v>225</v>
      </c>
      <c r="D31" s="710"/>
      <c r="E31" s="710"/>
      <c r="F31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</row>
    <row r="32" spans="1:7" ht="27.75" customHeight="1" x14ac:dyDescent="0.25">
      <c r="B32" s="152" t="s">
        <v>12</v>
      </c>
      <c r="C32" s="153" t="s">
        <v>19</v>
      </c>
      <c r="D32" s="710"/>
      <c r="E32" s="710"/>
      <c r="F32" s="519" t="e">
        <f>ROUND(SUM(F19,F28,F16,F25),2)</f>
        <v>#VALUE!</v>
      </c>
      <c r="G32" s="232" t="e">
        <f>F32-Титул!B13</f>
        <v>#VALUE!</v>
      </c>
    </row>
    <row r="33" spans="2:6" x14ac:dyDescent="0.25">
      <c r="B33" s="401"/>
    </row>
    <row r="35" spans="2:6" s="490" customFormat="1" ht="20.25" x14ac:dyDescent="0.3">
      <c r="C35" s="490" t="s">
        <v>274</v>
      </c>
      <c r="E35" s="842" t="str">
        <f>IFERROR(INDEX('Состав ВТК'!$1:$1048576,MATCH(C35,'Состав ВТК'!J:J,0),MATCH('Смета Реком.'!$E$36,'Состав ВТК'!7:7,0)),"---")</f>
        <v>---</v>
      </c>
      <c r="F35" s="842"/>
    </row>
    <row r="36" spans="2:6" s="491" customFormat="1" ht="11.25" x14ac:dyDescent="0.25">
      <c r="E36" s="808" t="s">
        <v>2</v>
      </c>
      <c r="F36" s="808"/>
    </row>
    <row r="37" spans="2:6" s="491" customFormat="1" ht="11.25" x14ac:dyDescent="0.25"/>
    <row r="38" spans="2:6" s="490" customFormat="1" ht="20.25" x14ac:dyDescent="0.3">
      <c r="C38" s="490" t="s">
        <v>191</v>
      </c>
      <c r="E38" s="842" t="str">
        <f>Титул!$B$10</f>
        <v>-</v>
      </c>
      <c r="F38" s="842"/>
    </row>
    <row r="39" spans="2:6" s="491" customFormat="1" ht="19.5" customHeight="1" x14ac:dyDescent="0.25">
      <c r="E39" s="808" t="s">
        <v>2</v>
      </c>
      <c r="F39" s="808"/>
    </row>
    <row r="40" spans="2:6" ht="18.75" x14ac:dyDescent="0.3">
      <c r="C40" s="536" t="s">
        <v>415</v>
      </c>
      <c r="D40" s="229"/>
    </row>
    <row r="41" spans="2:6" ht="20.25" x14ac:dyDescent="0.3">
      <c r="C41" s="537" t="s">
        <v>418</v>
      </c>
      <c r="D41" s="515"/>
      <c r="E41" s="538"/>
    </row>
  </sheetData>
  <sheetProtection algorithmName="SHA-512" hashValue="rzIBARrcO0cUUo+61c23eexDhbsPbLUqlDZDh9CFcTltoIaBYouofOVAaUydct3aufi4L3aVtm7r9eXhreBMPA==" saltValue="5irW80hHSRoXwEUPrHpgrw==" spinCount="100000" sheet="1" formatCells="0" formatColumns="0" formatRows="0" insertColumns="0" insertRows="0" insertHyperlinks="0" deleteColumns="0" deleteRows="0" sort="0" autoFilter="0" pivotTables="0"/>
  <mergeCells count="15">
    <mergeCell ref="D9:F9"/>
    <mergeCell ref="E1:F1"/>
    <mergeCell ref="E2:F2"/>
    <mergeCell ref="E3:F3"/>
    <mergeCell ref="B7:F7"/>
    <mergeCell ref="E5:F5"/>
    <mergeCell ref="E36:F36"/>
    <mergeCell ref="E38:F38"/>
    <mergeCell ref="E39:F39"/>
    <mergeCell ref="D10:F10"/>
    <mergeCell ref="D11:F11"/>
    <mergeCell ref="D12:F12"/>
    <mergeCell ref="D13:F13"/>
    <mergeCell ref="B14:F14"/>
    <mergeCell ref="E35:F35"/>
  </mergeCells>
  <hyperlinks>
    <hyperlink ref="C20" location="Выплаты!A1" display="Оплата труда сотрудников Финансового университета, выполняющих НИР"/>
    <hyperlink ref="C17" location="Мат.запасы!A1" display="Приобретение материальных запасов"/>
    <hyperlink ref="C18" location="Мат.запасы!A1" display="Приобретение оборудования"/>
    <hyperlink ref="C26" location="Командировочные!A1" display="Командировочные расходы"/>
    <hyperlink ref="C27" location="'Прочие расходы'!A1" display="Прочие расходы"/>
  </hyperlinks>
  <printOptions horizontalCentered="1"/>
  <pageMargins left="0.70866141732283472" right="0.70866141732283472" top="0.74803149606299213" bottom="0.74803149606299213" header="0" footer="0"/>
  <pageSetup paperSize="9" scale="55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A2827BA5-35E4-4DCD-9D5F-4334FB87F60D}">
            <xm:f>Титул!$B$13</xm:f>
            <x14:dxf>
              <fill>
                <patternFill>
                  <bgColor rgb="FFFF0000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cellIs" priority="1" operator="lessThan" id="{1C45071A-1DAE-4F15-BD00-68AE9C11061D}">
            <xm:f>Титул!$B$13</xm:f>
            <x14:dxf>
              <fill>
                <patternFill>
                  <bgColor rgb="FFFFC000"/>
                </patternFill>
              </fill>
            </x14:dxf>
          </x14:cfRule>
          <xm:sqref>F32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5" tint="-0.249977111117893"/>
    <outlinePr summaryBelow="0" summaryRight="0"/>
    <pageSetUpPr fitToPage="1"/>
  </sheetPr>
  <dimension ref="A1:L41"/>
  <sheetViews>
    <sheetView view="pageBreakPreview" topLeftCell="A25" zoomScale="70" zoomScaleNormal="70" zoomScaleSheetLayoutView="70" workbookViewId="0">
      <selection activeCell="F44" sqref="F44"/>
    </sheetView>
  </sheetViews>
  <sheetFormatPr defaultColWidth="9.140625" defaultRowHeight="15" x14ac:dyDescent="0.25"/>
  <cols>
    <col min="1" max="1" width="8" style="532" customWidth="1"/>
    <col min="2" max="2" width="9" style="1" customWidth="1"/>
    <col min="3" max="3" width="67.5703125" style="1" customWidth="1"/>
    <col min="4" max="5" width="21" style="1" customWidth="1"/>
    <col min="6" max="6" width="37.5703125" style="1" customWidth="1"/>
    <col min="7" max="7" width="11" style="1" bestFit="1" customWidth="1"/>
    <col min="8" max="8" width="12.42578125" style="1" bestFit="1" customWidth="1"/>
    <col min="9" max="9" width="9.140625" style="1"/>
    <col min="10" max="10" width="41.140625" style="1" customWidth="1"/>
    <col min="11" max="16384" width="9.140625" style="1"/>
  </cols>
  <sheetData>
    <row r="1" spans="1:12" s="25" customFormat="1" ht="20.25" x14ac:dyDescent="0.25">
      <c r="A1" s="525"/>
      <c r="E1" s="894" t="s">
        <v>20</v>
      </c>
      <c r="F1" s="894"/>
    </row>
    <row r="2" spans="1:12" s="25" customFormat="1" ht="41.25" customHeight="1" x14ac:dyDescent="0.25">
      <c r="A2" s="525"/>
      <c r="E2" s="892" t="s">
        <v>417</v>
      </c>
      <c r="F2" s="892"/>
    </row>
    <row r="3" spans="1:12" s="25" customFormat="1" ht="20.25" x14ac:dyDescent="0.25">
      <c r="A3" s="525"/>
      <c r="E3" s="895" t="s">
        <v>651</v>
      </c>
      <c r="F3" s="895"/>
    </row>
    <row r="4" spans="1:12" s="25" customFormat="1" ht="18.75" x14ac:dyDescent="0.25">
      <c r="A4" s="525"/>
      <c r="F4" s="64"/>
      <c r="J4" s="24"/>
      <c r="K4" s="24"/>
      <c r="L4" s="24"/>
    </row>
    <row r="5" spans="1:12" s="25" customFormat="1" ht="18.75" x14ac:dyDescent="0.25">
      <c r="A5" s="525"/>
      <c r="E5" s="810" t="s">
        <v>24</v>
      </c>
      <c r="F5" s="810"/>
      <c r="J5" s="24"/>
      <c r="K5" s="24"/>
      <c r="L5" s="24"/>
    </row>
    <row r="6" spans="1:12" s="25" customFormat="1" ht="18.75" x14ac:dyDescent="0.25">
      <c r="A6" s="525"/>
      <c r="F6" s="64"/>
      <c r="J6" s="24"/>
      <c r="K6" s="24"/>
      <c r="L6" s="24"/>
    </row>
    <row r="7" spans="1:12" s="25" customFormat="1" ht="45" customHeight="1" x14ac:dyDescent="0.25">
      <c r="A7" s="525"/>
      <c r="B7" s="896" t="s">
        <v>231</v>
      </c>
      <c r="C7" s="896"/>
      <c r="D7" s="896"/>
      <c r="E7" s="896"/>
      <c r="F7" s="896"/>
      <c r="J7" s="329"/>
      <c r="K7" s="526"/>
      <c r="L7" s="526"/>
    </row>
    <row r="8" spans="1:12" s="25" customFormat="1" ht="20.25" x14ac:dyDescent="0.25">
      <c r="A8" s="525"/>
      <c r="B8" s="527"/>
      <c r="C8" s="527"/>
      <c r="D8" s="527"/>
      <c r="E8" s="527"/>
      <c r="F8" s="527"/>
      <c r="J8" s="329"/>
    </row>
    <row r="9" spans="1:12" s="25" customFormat="1" ht="20.25" x14ac:dyDescent="0.3">
      <c r="A9" s="525"/>
      <c r="B9" s="528"/>
      <c r="C9" s="529" t="s">
        <v>228</v>
      </c>
      <c r="D9" s="892">
        <f>Титул!$B$5</f>
        <v>0</v>
      </c>
      <c r="E9" s="892"/>
      <c r="F9" s="892"/>
    </row>
    <row r="10" spans="1:12" s="25" customFormat="1" ht="84" customHeight="1" x14ac:dyDescent="0.3">
      <c r="A10" s="525"/>
      <c r="B10" s="528"/>
      <c r="C10" s="529" t="s">
        <v>84</v>
      </c>
      <c r="D10" s="892" t="str">
        <f>Титул!$B$6</f>
        <v>-</v>
      </c>
      <c r="E10" s="892"/>
      <c r="F10" s="892"/>
    </row>
    <row r="11" spans="1:12" s="25" customFormat="1" ht="32.25" customHeight="1" x14ac:dyDescent="0.3">
      <c r="A11" s="525"/>
      <c r="B11" s="528"/>
      <c r="C11" s="529" t="s">
        <v>212</v>
      </c>
      <c r="D11" s="892" t="str">
        <f>Титул!$B$7</f>
        <v>-</v>
      </c>
      <c r="E11" s="892"/>
      <c r="F11" s="892"/>
    </row>
    <row r="12" spans="1:12" s="25" customFormat="1" ht="60" customHeight="1" x14ac:dyDescent="0.3">
      <c r="A12" s="525"/>
      <c r="B12" s="528"/>
      <c r="C12" s="529" t="s">
        <v>211</v>
      </c>
      <c r="D12" s="892" t="str">
        <f>Титул!$B$9</f>
        <v>-</v>
      </c>
      <c r="E12" s="892"/>
      <c r="F12" s="892"/>
    </row>
    <row r="13" spans="1:12" s="25" customFormat="1" ht="38.25" customHeight="1" x14ac:dyDescent="0.3">
      <c r="A13" s="525"/>
      <c r="B13" s="528"/>
      <c r="C13" s="529" t="s">
        <v>213</v>
      </c>
      <c r="D13" s="892" t="str">
        <f>IF($D$11="Прикладная научно-исследовательская работа",справочник!$Q$3,справочник!$Q$2)</f>
        <v>Субсидия на выполнение государственного задания 0110 (ФНИ)</v>
      </c>
      <c r="E13" s="892"/>
      <c r="F13" s="892"/>
    </row>
    <row r="14" spans="1:12" s="25" customFormat="1" ht="18.75" x14ac:dyDescent="0.25">
      <c r="A14" s="525"/>
      <c r="B14" s="893"/>
      <c r="C14" s="893"/>
      <c r="D14" s="893"/>
      <c r="E14" s="893"/>
      <c r="F14" s="893"/>
    </row>
    <row r="15" spans="1:12" s="530" customFormat="1" ht="35.25" customHeight="1" x14ac:dyDescent="0.25">
      <c r="B15" s="313" t="s">
        <v>0</v>
      </c>
      <c r="C15" s="313" t="s">
        <v>1</v>
      </c>
      <c r="D15" s="314" t="s">
        <v>5</v>
      </c>
      <c r="E15" s="314" t="s">
        <v>6</v>
      </c>
      <c r="F15" s="531" t="s">
        <v>265</v>
      </c>
    </row>
    <row r="16" spans="1:12" ht="27.75" customHeight="1" x14ac:dyDescent="0.25">
      <c r="B16" s="152" t="s">
        <v>131</v>
      </c>
      <c r="C16" s="153" t="s">
        <v>180</v>
      </c>
      <c r="D16" s="153"/>
      <c r="E16" s="153"/>
      <c r="F16" s="519">
        <f>ROUND(SUM(F17:F18),2)</f>
        <v>0</v>
      </c>
      <c r="I16" s="232"/>
    </row>
    <row r="17" spans="1:9" ht="27.75" customHeight="1" x14ac:dyDescent="0.25">
      <c r="B17" s="154" t="s">
        <v>132</v>
      </c>
      <c r="C17" s="155" t="s">
        <v>181</v>
      </c>
      <c r="D17" s="709">
        <v>244</v>
      </c>
      <c r="E17" s="709">
        <v>340</v>
      </c>
      <c r="F17" s="520">
        <f>ROUND(SUMIFS(Мат.запасы!$J$6:$J$8,Мат.запасы!$B$6:$B$8,'Смета Рук.ВТК'!$B17),2)</f>
        <v>0</v>
      </c>
      <c r="I17" s="232"/>
    </row>
    <row r="18" spans="1:9" ht="27.75" customHeight="1" x14ac:dyDescent="0.25">
      <c r="B18" s="154" t="s">
        <v>133</v>
      </c>
      <c r="C18" s="155" t="s">
        <v>182</v>
      </c>
      <c r="D18" s="709">
        <v>244</v>
      </c>
      <c r="E18" s="709">
        <v>310</v>
      </c>
      <c r="F18" s="520">
        <f>ROUND(SUMIFS(Мат.запасы!$J$6:$J$8,Мат.запасы!$B$6:$B$8,'Смета Рук.ВТК'!$B18),2)</f>
        <v>0</v>
      </c>
      <c r="I18" s="232"/>
    </row>
    <row r="19" spans="1:9" ht="31.5" x14ac:dyDescent="0.25">
      <c r="B19" s="152" t="s">
        <v>134</v>
      </c>
      <c r="C19" s="153" t="s">
        <v>13</v>
      </c>
      <c r="D19" s="709"/>
      <c r="E19" s="709"/>
      <c r="F19" s="519">
        <f>ROUND(SUM(F20,F24:F24),2)</f>
        <v>0</v>
      </c>
      <c r="I19" s="232"/>
    </row>
    <row r="20" spans="1:9" ht="34.5" customHeight="1" x14ac:dyDescent="0.25">
      <c r="A20" s="533"/>
      <c r="B20" s="154" t="s">
        <v>137</v>
      </c>
      <c r="C20" s="155" t="s">
        <v>8</v>
      </c>
      <c r="D20" s="709">
        <v>111</v>
      </c>
      <c r="E20" s="709">
        <v>211</v>
      </c>
      <c r="F20" s="519">
        <f>ROUND(SUM(F21:F23),2)</f>
        <v>0</v>
      </c>
      <c r="I20" s="232"/>
    </row>
    <row r="21" spans="1:9" ht="27.75" customHeight="1" x14ac:dyDescent="0.25">
      <c r="A21" s="534"/>
      <c r="B21" s="154" t="s">
        <v>186</v>
      </c>
      <c r="C21" s="315" t="s">
        <v>387</v>
      </c>
      <c r="D21" s="709"/>
      <c r="E21" s="709"/>
      <c r="F21" s="520">
        <f>ROUND(Выплаты!$E$12+Выплаты!$F$12,2)</f>
        <v>0</v>
      </c>
      <c r="I21" s="232"/>
    </row>
    <row r="22" spans="1:9" ht="27.75" customHeight="1" x14ac:dyDescent="0.25">
      <c r="A22" s="534"/>
      <c r="B22" s="154" t="s">
        <v>185</v>
      </c>
      <c r="C22" s="315" t="s">
        <v>223</v>
      </c>
      <c r="D22" s="709"/>
      <c r="E22" s="709"/>
      <c r="F22" s="520">
        <f>ROUND(Выплаты!J12+Выплаты!K12+Выплаты!O12+Выплаты!P12+Выплаты!T12+Выплаты!U12,2)</f>
        <v>0</v>
      </c>
      <c r="I22" s="232"/>
    </row>
    <row r="23" spans="1:9" ht="27.75" customHeight="1" x14ac:dyDescent="0.25">
      <c r="A23" s="534"/>
      <c r="B23" s="154" t="s">
        <v>187</v>
      </c>
      <c r="C23" s="315" t="s">
        <v>224</v>
      </c>
      <c r="D23" s="709"/>
      <c r="E23" s="709"/>
      <c r="F23" s="520">
        <f>ROUND(Выплаты!AA12,2)</f>
        <v>0</v>
      </c>
      <c r="I23" s="232"/>
    </row>
    <row r="24" spans="1:9" ht="47.25" x14ac:dyDescent="0.25">
      <c r="A24" s="316">
        <v>0.30199999999999999</v>
      </c>
      <c r="B24" s="154" t="s">
        <v>188</v>
      </c>
      <c r="C24" s="317" t="s">
        <v>36</v>
      </c>
      <c r="D24" s="709">
        <v>119</v>
      </c>
      <c r="E24" s="709">
        <v>213</v>
      </c>
      <c r="F24" s="564">
        <f>ROUND(F$20*$A24,2)</f>
        <v>0</v>
      </c>
      <c r="I24" s="232"/>
    </row>
    <row r="25" spans="1:9" ht="31.5" x14ac:dyDescent="0.25">
      <c r="B25" s="152" t="s">
        <v>4</v>
      </c>
      <c r="C25" s="153" t="s">
        <v>183</v>
      </c>
      <c r="D25" s="709"/>
      <c r="E25" s="709"/>
      <c r="F25" s="519">
        <f>ROUND(F26+F27,2)</f>
        <v>0</v>
      </c>
      <c r="I25" s="232"/>
    </row>
    <row r="26" spans="1:9" ht="27.75" customHeight="1" x14ac:dyDescent="0.25">
      <c r="B26" s="154" t="s">
        <v>189</v>
      </c>
      <c r="C26" s="155" t="s">
        <v>154</v>
      </c>
      <c r="D26" s="709">
        <v>112</v>
      </c>
      <c r="E26" s="709" t="s">
        <v>184</v>
      </c>
      <c r="F26" s="520">
        <f>ROUND(SUMIFS(Командировочные!$L$5:$L$6,Командировочные!$B$5:$B$6,'Смета Рук.ВТК'!$B26),2)</f>
        <v>0</v>
      </c>
      <c r="I26" s="232"/>
    </row>
    <row r="27" spans="1:9" ht="27.75" customHeight="1" x14ac:dyDescent="0.25">
      <c r="B27" s="154" t="s">
        <v>190</v>
      </c>
      <c r="C27" s="155" t="s">
        <v>173</v>
      </c>
      <c r="D27" s="123">
        <v>244</v>
      </c>
      <c r="E27" s="123">
        <v>226</v>
      </c>
      <c r="F27" s="520">
        <f>ROUND(SUMIFS('Прочие расходы'!$J$6:$J$7,'Прочие расходы'!$B$6:$B$7,'Смета Рук.ВТК'!$B27),2)</f>
        <v>0</v>
      </c>
      <c r="I27" s="232"/>
    </row>
    <row r="28" spans="1:9" ht="27.75" customHeight="1" x14ac:dyDescent="0.25">
      <c r="A28" s="535"/>
      <c r="B28" s="152" t="s">
        <v>135</v>
      </c>
      <c r="C28" s="153" t="s">
        <v>915</v>
      </c>
      <c r="D28" s="153"/>
      <c r="E28" s="153"/>
      <c r="F28" s="519" t="e">
        <f>ROUND(F29+F30+F31,2)</f>
        <v>#VALUE!</v>
      </c>
      <c r="I28" s="232"/>
    </row>
    <row r="29" spans="1:9" ht="27.75" customHeight="1" x14ac:dyDescent="0.25">
      <c r="B29" s="154" t="s">
        <v>163</v>
      </c>
      <c r="C29" s="318" t="s">
        <v>226</v>
      </c>
      <c r="D29" s="153"/>
      <c r="E29" s="153"/>
      <c r="F29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  <c r="I29" s="232"/>
    </row>
    <row r="30" spans="1:9" ht="27.75" customHeight="1" x14ac:dyDescent="0.25">
      <c r="B30" s="154" t="s">
        <v>178</v>
      </c>
      <c r="C30" s="318" t="s">
        <v>227</v>
      </c>
      <c r="D30" s="153"/>
      <c r="E30" s="153"/>
      <c r="F30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  <c r="I30" s="232"/>
    </row>
    <row r="31" spans="1:9" ht="27.75" customHeight="1" x14ac:dyDescent="0.25">
      <c r="B31" s="154" t="s">
        <v>230</v>
      </c>
      <c r="C31" s="318" t="s">
        <v>225</v>
      </c>
      <c r="D31" s="710"/>
      <c r="E31" s="710"/>
      <c r="F31" s="520" t="e">
        <f>ROUND('Расчет участников НИР'!$U$6+IF(Распределение!$P$10&lt;0,0,IF(Распределение!$P$10&lt;(Титул!$B$13*5%),0,Распределение!$P$10*'Расчет участников НИР'!$U$3)),2)</f>
        <v>#VALUE!</v>
      </c>
      <c r="I31" s="232"/>
    </row>
    <row r="32" spans="1:9" ht="27.75" customHeight="1" x14ac:dyDescent="0.25">
      <c r="B32" s="152" t="s">
        <v>12</v>
      </c>
      <c r="C32" s="153" t="s">
        <v>19</v>
      </c>
      <c r="D32" s="710"/>
      <c r="E32" s="710"/>
      <c r="F32" s="519" t="e">
        <f>ROUND(SUM(F19,F28,F16,F25),2)</f>
        <v>#VALUE!</v>
      </c>
      <c r="G32" s="232" t="e">
        <f>F32-Титул!B13</f>
        <v>#VALUE!</v>
      </c>
      <c r="I32" s="232"/>
    </row>
    <row r="33" spans="3:9" x14ac:dyDescent="0.25">
      <c r="I33" s="232"/>
    </row>
    <row r="34" spans="3:9" s="490" customFormat="1" ht="20.25" x14ac:dyDescent="0.3">
      <c r="C34" s="490" t="s">
        <v>274</v>
      </c>
      <c r="E34" s="897" t="str">
        <f>IFERROR(INDEX('Состав ВТК'!$1:$1048576,MATCH(C34,'Состав ВТК'!J:J,0),MATCH('Смета Рук.ВТК'!$E$35,'Состав ВТК'!7:7,0)),"---")</f>
        <v>---</v>
      </c>
      <c r="F34" s="897"/>
    </row>
    <row r="35" spans="3:9" s="491" customFormat="1" ht="11.25" x14ac:dyDescent="0.25">
      <c r="E35" s="898" t="s">
        <v>2</v>
      </c>
      <c r="F35" s="898"/>
    </row>
    <row r="36" spans="3:9" s="491" customFormat="1" ht="11.25" x14ac:dyDescent="0.25">
      <c r="E36" s="722"/>
      <c r="F36" s="722"/>
    </row>
    <row r="37" spans="3:9" s="490" customFormat="1" ht="20.25" x14ac:dyDescent="0.3">
      <c r="C37" s="490" t="s">
        <v>191</v>
      </c>
      <c r="E37" s="897" t="str">
        <f>Титул!$B$10</f>
        <v>-</v>
      </c>
      <c r="F37" s="897"/>
    </row>
    <row r="38" spans="3:9" s="491" customFormat="1" ht="19.5" customHeight="1" x14ac:dyDescent="0.25">
      <c r="E38" s="898" t="s">
        <v>2</v>
      </c>
      <c r="F38" s="898"/>
    </row>
    <row r="39" spans="3:9" ht="18.75" x14ac:dyDescent="0.3">
      <c r="C39" s="536" t="s">
        <v>415</v>
      </c>
      <c r="D39" s="229"/>
    </row>
    <row r="40" spans="3:9" ht="20.25" x14ac:dyDescent="0.3">
      <c r="C40" s="537" t="s">
        <v>418</v>
      </c>
      <c r="D40" s="490"/>
      <c r="E40" s="897" t="s">
        <v>921</v>
      </c>
      <c r="F40" s="897"/>
    </row>
    <row r="41" spans="3:9" x14ac:dyDescent="0.25">
      <c r="E41" s="898" t="s">
        <v>2</v>
      </c>
      <c r="F41" s="898"/>
    </row>
  </sheetData>
  <sheetProtection algorithmName="SHA-512" hashValue="NgE1LqhG8Jj4Jqt2tOtG3bDKo1VpgIsvM7S1EzEqmM2i2hPUtSdebY8ev9KSUYVK/KIAUc8c5XXI/SS2uN7G/g==" saltValue="VglBBXr4qgBoqMfdNR7U+g==" spinCount="100000" sheet="1" formatCells="0" formatColumns="0" formatRows="0" insertColumns="0" insertRows="0" insertHyperlinks="0" deleteColumns="0" deleteRows="0" sort="0" autoFilter="0" pivotTables="0"/>
  <mergeCells count="17">
    <mergeCell ref="E1:F1"/>
    <mergeCell ref="E2:F2"/>
    <mergeCell ref="E3:F3"/>
    <mergeCell ref="E37:F37"/>
    <mergeCell ref="E5:F5"/>
    <mergeCell ref="B7:F7"/>
    <mergeCell ref="B14:F14"/>
    <mergeCell ref="D11:F11"/>
    <mergeCell ref="D10:F10"/>
    <mergeCell ref="D12:F12"/>
    <mergeCell ref="D13:F13"/>
    <mergeCell ref="D9:F9"/>
    <mergeCell ref="E40:F40"/>
    <mergeCell ref="E41:F41"/>
    <mergeCell ref="E38:F38"/>
    <mergeCell ref="E34:F34"/>
    <mergeCell ref="E35:F35"/>
  </mergeCells>
  <hyperlinks>
    <hyperlink ref="C20" location="Выплаты!A1" display="Оплата труда сотрудников Финансового университета, выполняющих НИР"/>
    <hyperlink ref="C17" location="Мат.запасы!A1" display="Приобретение материальных запасов"/>
    <hyperlink ref="C18" location="Мат.запасы!A1" display="Приобретение оборудования"/>
    <hyperlink ref="C26" location="Командировочные!A1" display="Командировочные расходы"/>
    <hyperlink ref="C27" location="'Прочие расходы'!A1" display="Прочие расходы"/>
  </hyperlinks>
  <printOptions horizontalCentered="1"/>
  <pageMargins left="0.70866141732283472" right="0.70866141732283472" top="0.74803149606299213" bottom="0.74803149606299213" header="0" footer="0"/>
  <pageSetup paperSize="9" scale="55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B1EB92EB-C050-421D-A4A8-B0CF10109F53}">
            <xm:f>Титул!$B$13</xm:f>
            <x14:dxf>
              <fill>
                <patternFill>
                  <bgColor rgb="FFFF0000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cellIs" priority="1" operator="lessThan" id="{DD7D15EE-E252-42B6-BB92-F17361309720}">
            <xm:f>Титул!$B$13</xm:f>
            <x14:dxf>
              <fill>
                <patternFill>
                  <bgColor rgb="FFFFC000"/>
                </patternFill>
              </fill>
            </x14:dxf>
          </x14:cfRule>
          <xm:sqref>F32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theme="5" tint="-0.249977111117893"/>
    <pageSetUpPr fitToPage="1"/>
  </sheetPr>
  <dimension ref="A1:F117"/>
  <sheetViews>
    <sheetView view="pageBreakPreview" zoomScale="85" zoomScaleNormal="100" zoomScaleSheetLayoutView="85" workbookViewId="0">
      <pane xSplit="2" ySplit="10" topLeftCell="C23" activePane="bottomRight" state="frozen"/>
      <selection pane="topRight" activeCell="C1" sqref="C1"/>
      <selection pane="bottomLeft" activeCell="A7" sqref="A7"/>
      <selection pane="bottomRight" activeCell="E16" sqref="E16"/>
    </sheetView>
  </sheetViews>
  <sheetFormatPr defaultRowHeight="15" outlineLevelRow="1" x14ac:dyDescent="0.25"/>
  <cols>
    <col min="1" max="1" width="5" style="1" customWidth="1"/>
    <col min="2" max="2" width="50.5703125" style="1" customWidth="1"/>
    <col min="3" max="3" width="34.42578125" style="1" customWidth="1"/>
    <col min="4" max="4" width="30.5703125" style="1" customWidth="1"/>
    <col min="5" max="5" width="29.5703125" style="1" customWidth="1"/>
    <col min="6" max="6" width="21.28515625" style="1" customWidth="1"/>
    <col min="7" max="16384" width="9.140625" style="1"/>
  </cols>
  <sheetData>
    <row r="1" spans="1:6" ht="22.5" x14ac:dyDescent="0.25">
      <c r="A1" s="903" t="s">
        <v>282</v>
      </c>
      <c r="B1" s="903"/>
      <c r="C1" s="903"/>
      <c r="D1" s="903"/>
      <c r="E1" s="903"/>
      <c r="F1" s="903"/>
    </row>
    <row r="2" spans="1:6" ht="15.75" customHeight="1" x14ac:dyDescent="0.25">
      <c r="A2" s="546"/>
      <c r="B2" s="546"/>
      <c r="C2" s="546"/>
      <c r="D2" s="546"/>
      <c r="E2" s="546"/>
      <c r="F2" s="546"/>
    </row>
    <row r="3" spans="1:6" s="229" customFormat="1" ht="18.75" x14ac:dyDescent="0.3">
      <c r="A3" s="330"/>
      <c r="B3" s="411" t="str">
        <f>Титул!A5</f>
        <v>Номер_темы</v>
      </c>
      <c r="C3" s="862">
        <f>Титул!B5</f>
        <v>0</v>
      </c>
      <c r="D3" s="862"/>
      <c r="E3" s="862"/>
      <c r="F3" s="862"/>
    </row>
    <row r="4" spans="1:6" s="229" customFormat="1" ht="34.5" customHeight="1" x14ac:dyDescent="0.3">
      <c r="A4" s="330"/>
      <c r="B4" s="411" t="str">
        <f>Титул!A6</f>
        <v>Наименование_темы</v>
      </c>
      <c r="C4" s="862" t="str">
        <f>IFERROR(Титул!$B$6,"-")</f>
        <v>-</v>
      </c>
      <c r="D4" s="862"/>
      <c r="E4" s="862"/>
      <c r="F4" s="862"/>
    </row>
    <row r="5" spans="1:6" s="229" customFormat="1" ht="26.25" customHeight="1" x14ac:dyDescent="0.3">
      <c r="A5" s="330"/>
      <c r="B5" s="411" t="str">
        <f>Титул!A7</f>
        <v>Вид_научного_исследования</v>
      </c>
      <c r="C5" s="862" t="str">
        <f>Титул!B7</f>
        <v>-</v>
      </c>
      <c r="D5" s="862"/>
      <c r="E5" s="862"/>
      <c r="F5" s="862"/>
    </row>
    <row r="6" spans="1:6" s="229" customFormat="1" ht="34.5" customHeight="1" x14ac:dyDescent="0.3">
      <c r="A6" s="330"/>
      <c r="B6" s="411" t="s">
        <v>413</v>
      </c>
      <c r="C6" s="862" t="str">
        <f>IFERROR(Титул!$B$8,"-")</f>
        <v>-</v>
      </c>
      <c r="D6" s="862"/>
      <c r="E6" s="862"/>
      <c r="F6" s="862"/>
    </row>
    <row r="7" spans="1:6" s="229" customFormat="1" ht="37.5" x14ac:dyDescent="0.3">
      <c r="A7" s="330"/>
      <c r="B7" s="411" t="str">
        <f>Титул!A9</f>
        <v>Наименование_подразделения_НИСП</v>
      </c>
      <c r="C7" s="862" t="str">
        <f>Титул!B9</f>
        <v>-</v>
      </c>
      <c r="D7" s="862"/>
      <c r="E7" s="862"/>
      <c r="F7" s="862"/>
    </row>
    <row r="8" spans="1:6" ht="12.75" customHeight="1" x14ac:dyDescent="0.25">
      <c r="A8" s="479"/>
      <c r="B8" s="479"/>
      <c r="C8" s="546"/>
      <c r="D8" s="546"/>
      <c r="E8" s="546"/>
    </row>
    <row r="9" spans="1:6" s="229" customFormat="1" ht="30" customHeight="1" x14ac:dyDescent="0.3">
      <c r="A9" s="899" t="s">
        <v>0</v>
      </c>
      <c r="B9" s="899" t="s">
        <v>2</v>
      </c>
      <c r="C9" s="902" t="s">
        <v>38</v>
      </c>
      <c r="D9" s="902"/>
      <c r="E9" s="902"/>
      <c r="F9" s="902"/>
    </row>
    <row r="10" spans="1:6" s="229" customFormat="1" ht="38.25" customHeight="1" x14ac:dyDescent="0.3">
      <c r="A10" s="899"/>
      <c r="B10" s="899"/>
      <c r="C10" s="651" t="s">
        <v>219</v>
      </c>
      <c r="D10" s="651" t="s">
        <v>276</v>
      </c>
      <c r="E10" s="651" t="s">
        <v>7</v>
      </c>
      <c r="F10" s="651" t="s">
        <v>9</v>
      </c>
    </row>
    <row r="11" spans="1:6" x14ac:dyDescent="0.25">
      <c r="A11" s="247">
        <v>1</v>
      </c>
      <c r="B11" s="349">
        <f>Распределение!B13</f>
        <v>0</v>
      </c>
      <c r="C11" s="349">
        <f>Распределение!L13</f>
        <v>0</v>
      </c>
      <c r="D11" s="349">
        <f>'Состав ВТК'!F9</f>
        <v>0</v>
      </c>
      <c r="E11" s="485">
        <f>'Состав ВТК'!J9</f>
        <v>0</v>
      </c>
      <c r="F11" s="247">
        <f>'Состав ВТК'!K9</f>
        <v>0</v>
      </c>
    </row>
    <row r="12" spans="1:6" x14ac:dyDescent="0.25">
      <c r="A12" s="247">
        <v>2</v>
      </c>
      <c r="B12" s="349">
        <f>Распределение!B14</f>
        <v>0</v>
      </c>
      <c r="C12" s="349">
        <f>Распределение!L14</f>
        <v>0</v>
      </c>
      <c r="D12" s="349">
        <f>'Состав ВТК'!F10</f>
        <v>0</v>
      </c>
      <c r="E12" s="485">
        <f>'Состав ВТК'!J10</f>
        <v>0</v>
      </c>
      <c r="F12" s="247">
        <f>'Состав ВТК'!K10</f>
        <v>0</v>
      </c>
    </row>
    <row r="13" spans="1:6" x14ac:dyDescent="0.25">
      <c r="A13" s="247">
        <v>3</v>
      </c>
      <c r="B13" s="349">
        <f>Распределение!B15</f>
        <v>0</v>
      </c>
      <c r="C13" s="349">
        <f>Распределение!L15</f>
        <v>0</v>
      </c>
      <c r="D13" s="349">
        <f>'Состав ВТК'!F11</f>
        <v>0</v>
      </c>
      <c r="E13" s="485">
        <f>'Состав ВТК'!J11</f>
        <v>0</v>
      </c>
      <c r="F13" s="247">
        <f>'Состав ВТК'!K11</f>
        <v>0</v>
      </c>
    </row>
    <row r="14" spans="1:6" x14ac:dyDescent="0.25">
      <c r="A14" s="247">
        <v>4</v>
      </c>
      <c r="B14" s="349">
        <f>Распределение!B16</f>
        <v>0</v>
      </c>
      <c r="C14" s="349">
        <f>Распределение!L16</f>
        <v>0</v>
      </c>
      <c r="D14" s="349">
        <f>'Состав ВТК'!F12</f>
        <v>0</v>
      </c>
      <c r="E14" s="485">
        <f>'Состав ВТК'!J12</f>
        <v>0</v>
      </c>
      <c r="F14" s="247">
        <f>'Состав ВТК'!K12</f>
        <v>0</v>
      </c>
    </row>
    <row r="15" spans="1:6" x14ac:dyDescent="0.25">
      <c r="A15" s="247">
        <v>5</v>
      </c>
      <c r="B15" s="349">
        <f>Распределение!B17</f>
        <v>0</v>
      </c>
      <c r="C15" s="349">
        <f>Распределение!L17</f>
        <v>0</v>
      </c>
      <c r="D15" s="349">
        <f>'Состав ВТК'!F13</f>
        <v>0</v>
      </c>
      <c r="E15" s="485">
        <f>'Состав ВТК'!J13</f>
        <v>0</v>
      </c>
      <c r="F15" s="247">
        <f>'Состав ВТК'!K13</f>
        <v>0</v>
      </c>
    </row>
    <row r="16" spans="1:6" x14ac:dyDescent="0.25">
      <c r="A16" s="247">
        <v>6</v>
      </c>
      <c r="B16" s="349">
        <f>Распределение!B18</f>
        <v>0</v>
      </c>
      <c r="C16" s="349">
        <f>Распределение!L18</f>
        <v>0</v>
      </c>
      <c r="D16" s="349">
        <f>'Состав ВТК'!F14</f>
        <v>0</v>
      </c>
      <c r="E16" s="485">
        <f>'Состав ВТК'!J14</f>
        <v>0</v>
      </c>
      <c r="F16" s="247">
        <f>'Состав ВТК'!K14</f>
        <v>0</v>
      </c>
    </row>
    <row r="17" spans="1:6" x14ac:dyDescent="0.25">
      <c r="A17" s="247">
        <v>7</v>
      </c>
      <c r="B17" s="349">
        <f>Распределение!B19</f>
        <v>0</v>
      </c>
      <c r="C17" s="349">
        <f>Распределение!L19</f>
        <v>0</v>
      </c>
      <c r="D17" s="349">
        <f>'Состав ВТК'!F15</f>
        <v>0</v>
      </c>
      <c r="E17" s="485">
        <f>'Состав ВТК'!J15</f>
        <v>0</v>
      </c>
      <c r="F17" s="247">
        <f>'Состав ВТК'!K15</f>
        <v>0</v>
      </c>
    </row>
    <row r="18" spans="1:6" x14ac:dyDescent="0.25">
      <c r="A18" s="247">
        <v>8</v>
      </c>
      <c r="B18" s="349">
        <f>Распределение!B20</f>
        <v>0</v>
      </c>
      <c r="C18" s="349">
        <f>Распределение!L20</f>
        <v>0</v>
      </c>
      <c r="D18" s="349">
        <f>'Состав ВТК'!F16</f>
        <v>0</v>
      </c>
      <c r="E18" s="485">
        <f>'Состав ВТК'!J16</f>
        <v>0</v>
      </c>
      <c r="F18" s="247">
        <f>'Состав ВТК'!K16</f>
        <v>0</v>
      </c>
    </row>
    <row r="19" spans="1:6" x14ac:dyDescent="0.25">
      <c r="A19" s="247">
        <v>9</v>
      </c>
      <c r="B19" s="349">
        <f>Распределение!B21</f>
        <v>0</v>
      </c>
      <c r="C19" s="349">
        <f>Распределение!L21</f>
        <v>0</v>
      </c>
      <c r="D19" s="349">
        <f>'Состав ВТК'!F17</f>
        <v>0</v>
      </c>
      <c r="E19" s="485">
        <f>'Состав ВТК'!J17</f>
        <v>0</v>
      </c>
      <c r="F19" s="247">
        <f>'Состав ВТК'!K17</f>
        <v>0</v>
      </c>
    </row>
    <row r="20" spans="1:6" x14ac:dyDescent="0.25">
      <c r="A20" s="247">
        <v>10</v>
      </c>
      <c r="B20" s="349">
        <f>Распределение!B22</f>
        <v>0</v>
      </c>
      <c r="C20" s="349">
        <f>Распределение!L22</f>
        <v>0</v>
      </c>
      <c r="D20" s="349">
        <f>'Состав ВТК'!F18</f>
        <v>0</v>
      </c>
      <c r="E20" s="485">
        <f>'Состав ВТК'!J18</f>
        <v>0</v>
      </c>
      <c r="F20" s="247">
        <f>'Состав ВТК'!K18</f>
        <v>0</v>
      </c>
    </row>
    <row r="21" spans="1:6" x14ac:dyDescent="0.25">
      <c r="A21" s="247">
        <v>11</v>
      </c>
      <c r="B21" s="349">
        <f>Распределение!B23</f>
        <v>0</v>
      </c>
      <c r="C21" s="349">
        <f>Распределение!L23</f>
        <v>0</v>
      </c>
      <c r="D21" s="349">
        <f>'Состав ВТК'!F19</f>
        <v>0</v>
      </c>
      <c r="E21" s="485">
        <f>'Состав ВТК'!J19</f>
        <v>0</v>
      </c>
      <c r="F21" s="247">
        <f>'Состав ВТК'!K19</f>
        <v>0</v>
      </c>
    </row>
    <row r="22" spans="1:6" x14ac:dyDescent="0.25">
      <c r="A22" s="247">
        <v>12</v>
      </c>
      <c r="B22" s="349">
        <f>Распределение!B24</f>
        <v>0</v>
      </c>
      <c r="C22" s="349">
        <f>Распределение!L24</f>
        <v>0</v>
      </c>
      <c r="D22" s="349">
        <f>'Состав ВТК'!F20</f>
        <v>0</v>
      </c>
      <c r="E22" s="485">
        <f>'Состав ВТК'!J20</f>
        <v>0</v>
      </c>
      <c r="F22" s="247">
        <f>'Состав ВТК'!K20</f>
        <v>0</v>
      </c>
    </row>
    <row r="23" spans="1:6" outlineLevel="1" x14ac:dyDescent="0.25">
      <c r="A23" s="247">
        <v>13</v>
      </c>
      <c r="B23" s="349">
        <f>Распределение!B25</f>
        <v>0</v>
      </c>
      <c r="C23" s="349">
        <f>Распределение!L25</f>
        <v>0</v>
      </c>
      <c r="D23" s="349">
        <f>'Состав ВТК'!F21</f>
        <v>0</v>
      </c>
      <c r="E23" s="485">
        <f>'Состав ВТК'!J21</f>
        <v>0</v>
      </c>
      <c r="F23" s="247">
        <f>'Состав ВТК'!K21</f>
        <v>0</v>
      </c>
    </row>
    <row r="24" spans="1:6" outlineLevel="1" x14ac:dyDescent="0.25">
      <c r="A24" s="247">
        <v>14</v>
      </c>
      <c r="B24" s="349">
        <f>Распределение!B26</f>
        <v>0</v>
      </c>
      <c r="C24" s="349">
        <f>Распределение!L26</f>
        <v>0</v>
      </c>
      <c r="D24" s="349">
        <f>'Состав ВТК'!F22</f>
        <v>0</v>
      </c>
      <c r="E24" s="485">
        <f>'Состав ВТК'!J22</f>
        <v>0</v>
      </c>
      <c r="F24" s="247">
        <f>'Состав ВТК'!K22</f>
        <v>0</v>
      </c>
    </row>
    <row r="25" spans="1:6" outlineLevel="1" x14ac:dyDescent="0.25">
      <c r="A25" s="247">
        <v>15</v>
      </c>
      <c r="B25" s="349">
        <f>Распределение!B27</f>
        <v>0</v>
      </c>
      <c r="C25" s="349">
        <f>Распределение!L27</f>
        <v>0</v>
      </c>
      <c r="D25" s="349">
        <f>'Состав ВТК'!F23</f>
        <v>0</v>
      </c>
      <c r="E25" s="485">
        <f>'Состав ВТК'!J23</f>
        <v>0</v>
      </c>
      <c r="F25" s="247">
        <f>'Состав ВТК'!K23</f>
        <v>0</v>
      </c>
    </row>
    <row r="26" spans="1:6" hidden="1" outlineLevel="1" x14ac:dyDescent="0.25">
      <c r="A26" s="247">
        <v>16</v>
      </c>
      <c r="B26" s="349">
        <f>Распределение!B28</f>
        <v>0</v>
      </c>
      <c r="C26" s="349">
        <f>Распределение!L28</f>
        <v>0</v>
      </c>
      <c r="D26" s="349">
        <f>'Состав ВТК'!F24</f>
        <v>0</v>
      </c>
      <c r="E26" s="485">
        <f>'Состав ВТК'!J24</f>
        <v>0</v>
      </c>
      <c r="F26" s="247">
        <f>'Состав ВТК'!K24</f>
        <v>0</v>
      </c>
    </row>
    <row r="27" spans="1:6" hidden="1" outlineLevel="1" x14ac:dyDescent="0.25">
      <c r="A27" s="247">
        <v>17</v>
      </c>
      <c r="B27" s="349">
        <f>Распределение!B29</f>
        <v>0</v>
      </c>
      <c r="C27" s="349">
        <f>Распределение!L29</f>
        <v>0</v>
      </c>
      <c r="D27" s="349">
        <f>'Состав ВТК'!F25</f>
        <v>0</v>
      </c>
      <c r="E27" s="485">
        <f>'Состав ВТК'!J25</f>
        <v>0</v>
      </c>
      <c r="F27" s="247">
        <f>'Состав ВТК'!K25</f>
        <v>0</v>
      </c>
    </row>
    <row r="28" spans="1:6" hidden="1" outlineLevel="1" x14ac:dyDescent="0.25">
      <c r="A28" s="247">
        <v>18</v>
      </c>
      <c r="B28" s="349">
        <f>Распределение!B30</f>
        <v>0</v>
      </c>
      <c r="C28" s="349">
        <f>Распределение!L30</f>
        <v>0</v>
      </c>
      <c r="D28" s="349">
        <f>'Состав ВТК'!F26</f>
        <v>0</v>
      </c>
      <c r="E28" s="485">
        <f>'Состав ВТК'!J26</f>
        <v>0</v>
      </c>
      <c r="F28" s="247">
        <f>'Состав ВТК'!K26</f>
        <v>0</v>
      </c>
    </row>
    <row r="29" spans="1:6" hidden="1" outlineLevel="1" x14ac:dyDescent="0.25">
      <c r="A29" s="247">
        <v>19</v>
      </c>
      <c r="B29" s="349">
        <f>Распределение!B31</f>
        <v>0</v>
      </c>
      <c r="C29" s="349">
        <f>Распределение!L31</f>
        <v>0</v>
      </c>
      <c r="D29" s="349">
        <f>'Состав ВТК'!F27</f>
        <v>0</v>
      </c>
      <c r="E29" s="485">
        <f>'Состав ВТК'!J27</f>
        <v>0</v>
      </c>
      <c r="F29" s="247">
        <f>'Состав ВТК'!K27</f>
        <v>0</v>
      </c>
    </row>
    <row r="30" spans="1:6" hidden="1" outlineLevel="1" x14ac:dyDescent="0.25">
      <c r="A30" s="247">
        <v>20</v>
      </c>
      <c r="B30" s="349">
        <f>Распределение!B32</f>
        <v>0</v>
      </c>
      <c r="C30" s="349">
        <f>Распределение!L32</f>
        <v>0</v>
      </c>
      <c r="D30" s="349">
        <f>'Состав ВТК'!F28</f>
        <v>0</v>
      </c>
      <c r="E30" s="485">
        <f>'Состав ВТК'!J28</f>
        <v>0</v>
      </c>
      <c r="F30" s="247">
        <f>'Состав ВТК'!K28</f>
        <v>0</v>
      </c>
    </row>
    <row r="31" spans="1:6" hidden="1" outlineLevel="1" x14ac:dyDescent="0.25">
      <c r="A31" s="247">
        <v>21</v>
      </c>
      <c r="B31" s="349">
        <f>Распределение!B33</f>
        <v>0</v>
      </c>
      <c r="C31" s="349">
        <f>Распределение!L33</f>
        <v>0</v>
      </c>
      <c r="D31" s="349">
        <f>'Состав ВТК'!F29</f>
        <v>0</v>
      </c>
      <c r="E31" s="485">
        <f>'Состав ВТК'!J29</f>
        <v>0</v>
      </c>
      <c r="F31" s="247">
        <f>'Состав ВТК'!K29</f>
        <v>0</v>
      </c>
    </row>
    <row r="32" spans="1:6" hidden="1" outlineLevel="1" x14ac:dyDescent="0.25">
      <c r="A32" s="247">
        <v>22</v>
      </c>
      <c r="B32" s="349">
        <f>Распределение!B34</f>
        <v>0</v>
      </c>
      <c r="C32" s="349">
        <f>Распределение!L34</f>
        <v>0</v>
      </c>
      <c r="D32" s="349">
        <f>'Состав ВТК'!F30</f>
        <v>0</v>
      </c>
      <c r="E32" s="485">
        <f>'Состав ВТК'!J30</f>
        <v>0</v>
      </c>
      <c r="F32" s="247">
        <f>'Состав ВТК'!K30</f>
        <v>0</v>
      </c>
    </row>
    <row r="33" spans="1:6" hidden="1" outlineLevel="1" x14ac:dyDescent="0.25">
      <c r="A33" s="247">
        <v>23</v>
      </c>
      <c r="B33" s="349">
        <f>Распределение!B35</f>
        <v>0</v>
      </c>
      <c r="C33" s="349">
        <f>Распределение!L35</f>
        <v>0</v>
      </c>
      <c r="D33" s="349">
        <f>'Состав ВТК'!F31</f>
        <v>0</v>
      </c>
      <c r="E33" s="485">
        <f>'Состав ВТК'!J31</f>
        <v>0</v>
      </c>
      <c r="F33" s="247">
        <f>'Состав ВТК'!K31</f>
        <v>0</v>
      </c>
    </row>
    <row r="34" spans="1:6" hidden="1" outlineLevel="1" x14ac:dyDescent="0.25">
      <c r="A34" s="247">
        <v>24</v>
      </c>
      <c r="B34" s="349">
        <f>Распределение!B36</f>
        <v>0</v>
      </c>
      <c r="C34" s="349">
        <f>Распределение!L36</f>
        <v>0</v>
      </c>
      <c r="D34" s="349">
        <f>'Состав ВТК'!F32</f>
        <v>0</v>
      </c>
      <c r="E34" s="485">
        <f>'Состав ВТК'!J32</f>
        <v>0</v>
      </c>
      <c r="F34" s="247">
        <f>'Состав ВТК'!K32</f>
        <v>0</v>
      </c>
    </row>
    <row r="35" spans="1:6" hidden="1" outlineLevel="1" x14ac:dyDescent="0.25">
      <c r="A35" s="247">
        <v>25</v>
      </c>
      <c r="B35" s="349">
        <f>Распределение!B37</f>
        <v>0</v>
      </c>
      <c r="C35" s="349">
        <f>Распределение!L37</f>
        <v>0</v>
      </c>
      <c r="D35" s="349">
        <f>'Состав ВТК'!F33</f>
        <v>0</v>
      </c>
      <c r="E35" s="485">
        <f>'Состав ВТК'!J33</f>
        <v>0</v>
      </c>
      <c r="F35" s="247">
        <f>'Состав ВТК'!K33</f>
        <v>0</v>
      </c>
    </row>
    <row r="36" spans="1:6" hidden="1" outlineLevel="1" x14ac:dyDescent="0.25">
      <c r="A36" s="247">
        <v>26</v>
      </c>
      <c r="B36" s="349">
        <f>Распределение!B38</f>
        <v>0</v>
      </c>
      <c r="C36" s="349">
        <f>Распределение!L38</f>
        <v>0</v>
      </c>
      <c r="D36" s="349">
        <f>'Состав ВТК'!F34</f>
        <v>0</v>
      </c>
      <c r="E36" s="485">
        <f>'Состав ВТК'!J34</f>
        <v>0</v>
      </c>
      <c r="F36" s="247">
        <f>'Состав ВТК'!K34</f>
        <v>0</v>
      </c>
    </row>
    <row r="37" spans="1:6" hidden="1" outlineLevel="1" x14ac:dyDescent="0.25">
      <c r="A37" s="247">
        <v>27</v>
      </c>
      <c r="B37" s="349">
        <f>Распределение!B39</f>
        <v>0</v>
      </c>
      <c r="C37" s="349">
        <f>Распределение!L39</f>
        <v>0</v>
      </c>
      <c r="D37" s="349">
        <f>'Состав ВТК'!F35</f>
        <v>0</v>
      </c>
      <c r="E37" s="485">
        <f>'Состав ВТК'!J35</f>
        <v>0</v>
      </c>
      <c r="F37" s="247">
        <f>'Состав ВТК'!K35</f>
        <v>0</v>
      </c>
    </row>
    <row r="38" spans="1:6" hidden="1" outlineLevel="1" x14ac:dyDescent="0.25">
      <c r="A38" s="247">
        <v>28</v>
      </c>
      <c r="B38" s="349">
        <f>Распределение!B40</f>
        <v>0</v>
      </c>
      <c r="C38" s="349">
        <f>Распределение!L40</f>
        <v>0</v>
      </c>
      <c r="D38" s="349">
        <f>'Состав ВТК'!F36</f>
        <v>0</v>
      </c>
      <c r="E38" s="485">
        <f>'Состав ВТК'!J36</f>
        <v>0</v>
      </c>
      <c r="F38" s="247">
        <f>'Состав ВТК'!K36</f>
        <v>0</v>
      </c>
    </row>
    <row r="39" spans="1:6" hidden="1" outlineLevel="1" x14ac:dyDescent="0.25">
      <c r="A39" s="247">
        <v>29</v>
      </c>
      <c r="B39" s="349">
        <f>Распределение!B41</f>
        <v>0</v>
      </c>
      <c r="C39" s="349">
        <f>Распределение!L41</f>
        <v>0</v>
      </c>
      <c r="D39" s="349">
        <f>'Состав ВТК'!F37</f>
        <v>0</v>
      </c>
      <c r="E39" s="485">
        <f>'Состав ВТК'!J37</f>
        <v>0</v>
      </c>
      <c r="F39" s="247">
        <f>'Состав ВТК'!K37</f>
        <v>0</v>
      </c>
    </row>
    <row r="40" spans="1:6" hidden="1" outlineLevel="1" x14ac:dyDescent="0.25">
      <c r="A40" s="247">
        <v>30</v>
      </c>
      <c r="B40" s="349">
        <f>Распределение!B42</f>
        <v>0</v>
      </c>
      <c r="C40" s="349">
        <f>Распределение!L42</f>
        <v>0</v>
      </c>
      <c r="D40" s="349">
        <f>'Состав ВТК'!F38</f>
        <v>0</v>
      </c>
      <c r="E40" s="485">
        <f>'Состав ВТК'!J38</f>
        <v>0</v>
      </c>
      <c r="F40" s="247">
        <f>'Состав ВТК'!K38</f>
        <v>0</v>
      </c>
    </row>
    <row r="41" spans="1:6" hidden="1" outlineLevel="1" x14ac:dyDescent="0.25">
      <c r="A41" s="247">
        <v>31</v>
      </c>
      <c r="B41" s="349">
        <f>Распределение!B43</f>
        <v>0</v>
      </c>
      <c r="C41" s="349">
        <f>Распределение!L43</f>
        <v>0</v>
      </c>
      <c r="D41" s="349">
        <f>'Состав ВТК'!F39</f>
        <v>0</v>
      </c>
      <c r="E41" s="485">
        <f>'Состав ВТК'!J39</f>
        <v>0</v>
      </c>
      <c r="F41" s="247">
        <f>'Состав ВТК'!K39</f>
        <v>0</v>
      </c>
    </row>
    <row r="42" spans="1:6" hidden="1" outlineLevel="1" x14ac:dyDescent="0.25">
      <c r="A42" s="247">
        <v>32</v>
      </c>
      <c r="B42" s="349">
        <f>Распределение!B44</f>
        <v>0</v>
      </c>
      <c r="C42" s="349">
        <f>Распределение!L44</f>
        <v>0</v>
      </c>
      <c r="D42" s="349">
        <f>'Состав ВТК'!F40</f>
        <v>0</v>
      </c>
      <c r="E42" s="485">
        <f>'Состав ВТК'!J40</f>
        <v>0</v>
      </c>
      <c r="F42" s="247">
        <f>'Состав ВТК'!K40</f>
        <v>0</v>
      </c>
    </row>
    <row r="43" spans="1:6" hidden="1" outlineLevel="1" x14ac:dyDescent="0.25">
      <c r="A43" s="247">
        <v>33</v>
      </c>
      <c r="B43" s="349">
        <f>Распределение!B45</f>
        <v>0</v>
      </c>
      <c r="C43" s="349">
        <f>Распределение!L45</f>
        <v>0</v>
      </c>
      <c r="D43" s="349">
        <f>'Состав ВТК'!F41</f>
        <v>0</v>
      </c>
      <c r="E43" s="485">
        <f>'Состав ВТК'!J41</f>
        <v>0</v>
      </c>
      <c r="F43" s="247">
        <f>'Состав ВТК'!K41</f>
        <v>0</v>
      </c>
    </row>
    <row r="44" spans="1:6" hidden="1" outlineLevel="1" x14ac:dyDescent="0.25">
      <c r="A44" s="247">
        <v>34</v>
      </c>
      <c r="B44" s="349">
        <f>Распределение!B46</f>
        <v>0</v>
      </c>
      <c r="C44" s="349">
        <f>Распределение!L46</f>
        <v>0</v>
      </c>
      <c r="D44" s="349">
        <f>'Состав ВТК'!F42</f>
        <v>0</v>
      </c>
      <c r="E44" s="485">
        <f>'Состав ВТК'!J42</f>
        <v>0</v>
      </c>
      <c r="F44" s="247">
        <f>'Состав ВТК'!K42</f>
        <v>0</v>
      </c>
    </row>
    <row r="45" spans="1:6" hidden="1" outlineLevel="1" x14ac:dyDescent="0.25">
      <c r="A45" s="247">
        <v>35</v>
      </c>
      <c r="B45" s="349">
        <f>Распределение!B47</f>
        <v>0</v>
      </c>
      <c r="C45" s="349">
        <f>Распределение!L47</f>
        <v>0</v>
      </c>
      <c r="D45" s="349">
        <f>'Состав ВТК'!F43</f>
        <v>0</v>
      </c>
      <c r="E45" s="485">
        <f>'Состав ВТК'!J43</f>
        <v>0</v>
      </c>
      <c r="F45" s="247">
        <f>'Состав ВТК'!K43</f>
        <v>0</v>
      </c>
    </row>
    <row r="46" spans="1:6" hidden="1" outlineLevel="1" x14ac:dyDescent="0.25">
      <c r="A46" s="247">
        <v>36</v>
      </c>
      <c r="B46" s="349">
        <f>Распределение!B48</f>
        <v>0</v>
      </c>
      <c r="C46" s="349">
        <f>Распределение!L48</f>
        <v>0</v>
      </c>
      <c r="D46" s="349">
        <f>'Состав ВТК'!F44</f>
        <v>0</v>
      </c>
      <c r="E46" s="485">
        <f>'Состав ВТК'!J44</f>
        <v>0</v>
      </c>
      <c r="F46" s="247">
        <f>'Состав ВТК'!K44</f>
        <v>0</v>
      </c>
    </row>
    <row r="47" spans="1:6" hidden="1" outlineLevel="1" x14ac:dyDescent="0.25">
      <c r="A47" s="247">
        <v>37</v>
      </c>
      <c r="B47" s="349">
        <f>Распределение!B49</f>
        <v>0</v>
      </c>
      <c r="C47" s="349">
        <f>Распределение!L49</f>
        <v>0</v>
      </c>
      <c r="D47" s="349">
        <f>'Состав ВТК'!F45</f>
        <v>0</v>
      </c>
      <c r="E47" s="485">
        <f>'Состав ВТК'!J45</f>
        <v>0</v>
      </c>
      <c r="F47" s="247">
        <f>'Состав ВТК'!K45</f>
        <v>0</v>
      </c>
    </row>
    <row r="48" spans="1:6" hidden="1" outlineLevel="1" x14ac:dyDescent="0.25">
      <c r="A48" s="247">
        <v>38</v>
      </c>
      <c r="B48" s="349">
        <f>Распределение!B50</f>
        <v>0</v>
      </c>
      <c r="C48" s="349">
        <f>Распределение!L50</f>
        <v>0</v>
      </c>
      <c r="D48" s="349">
        <f>'Состав ВТК'!F46</f>
        <v>0</v>
      </c>
      <c r="E48" s="485">
        <f>'Состав ВТК'!J46</f>
        <v>0</v>
      </c>
      <c r="F48" s="247">
        <f>'Состав ВТК'!K46</f>
        <v>0</v>
      </c>
    </row>
    <row r="49" spans="1:6" hidden="1" outlineLevel="1" x14ac:dyDescent="0.25">
      <c r="A49" s="247">
        <v>39</v>
      </c>
      <c r="B49" s="349">
        <f>Распределение!B51</f>
        <v>0</v>
      </c>
      <c r="C49" s="349">
        <f>Распределение!L51</f>
        <v>0</v>
      </c>
      <c r="D49" s="349">
        <f>'Состав ВТК'!F47</f>
        <v>0</v>
      </c>
      <c r="E49" s="485">
        <f>'Состав ВТК'!J47</f>
        <v>0</v>
      </c>
      <c r="F49" s="247">
        <f>'Состав ВТК'!K47</f>
        <v>0</v>
      </c>
    </row>
    <row r="50" spans="1:6" hidden="1" outlineLevel="1" x14ac:dyDescent="0.25">
      <c r="A50" s="247">
        <v>40</v>
      </c>
      <c r="B50" s="349">
        <f>Распределение!B52</f>
        <v>0</v>
      </c>
      <c r="C50" s="349">
        <f>Распределение!L52</f>
        <v>0</v>
      </c>
      <c r="D50" s="349">
        <f>'Состав ВТК'!F48</f>
        <v>0</v>
      </c>
      <c r="E50" s="485">
        <f>'Состав ВТК'!J48</f>
        <v>0</v>
      </c>
      <c r="F50" s="247">
        <f>'Состав ВТК'!K48</f>
        <v>0</v>
      </c>
    </row>
    <row r="51" spans="1:6" hidden="1" outlineLevel="1" x14ac:dyDescent="0.25">
      <c r="A51" s="247">
        <v>41</v>
      </c>
      <c r="B51" s="349">
        <f>Распределение!B53</f>
        <v>0</v>
      </c>
      <c r="C51" s="349">
        <f>Распределение!L53</f>
        <v>0</v>
      </c>
      <c r="D51" s="349">
        <f>'Состав ВТК'!F49</f>
        <v>0</v>
      </c>
      <c r="E51" s="485">
        <f>'Состав ВТК'!J49</f>
        <v>0</v>
      </c>
      <c r="F51" s="247">
        <f>'Состав ВТК'!K49</f>
        <v>0</v>
      </c>
    </row>
    <row r="52" spans="1:6" hidden="1" outlineLevel="1" x14ac:dyDescent="0.25">
      <c r="A52" s="247">
        <v>42</v>
      </c>
      <c r="B52" s="349">
        <f>Распределение!B54</f>
        <v>0</v>
      </c>
      <c r="C52" s="349">
        <f>Распределение!L54</f>
        <v>0</v>
      </c>
      <c r="D52" s="349">
        <f>'Состав ВТК'!F50</f>
        <v>0</v>
      </c>
      <c r="E52" s="485">
        <f>'Состав ВТК'!J50</f>
        <v>0</v>
      </c>
      <c r="F52" s="247">
        <f>'Состав ВТК'!K50</f>
        <v>0</v>
      </c>
    </row>
    <row r="53" spans="1:6" hidden="1" outlineLevel="1" x14ac:dyDescent="0.25">
      <c r="A53" s="247">
        <v>43</v>
      </c>
      <c r="B53" s="349">
        <f>Распределение!B55</f>
        <v>0</v>
      </c>
      <c r="C53" s="349">
        <f>Распределение!L55</f>
        <v>0</v>
      </c>
      <c r="D53" s="349">
        <f>'Состав ВТК'!F51</f>
        <v>0</v>
      </c>
      <c r="E53" s="485">
        <f>'Состав ВТК'!J51</f>
        <v>0</v>
      </c>
      <c r="F53" s="247">
        <f>'Состав ВТК'!K51</f>
        <v>0</v>
      </c>
    </row>
    <row r="54" spans="1:6" hidden="1" outlineLevel="1" x14ac:dyDescent="0.25">
      <c r="A54" s="247">
        <v>44</v>
      </c>
      <c r="B54" s="349">
        <f>Распределение!B56</f>
        <v>0</v>
      </c>
      <c r="C54" s="349">
        <f>Распределение!L56</f>
        <v>0</v>
      </c>
      <c r="D54" s="349">
        <f>'Состав ВТК'!F52</f>
        <v>0</v>
      </c>
      <c r="E54" s="485">
        <f>'Состав ВТК'!J52</f>
        <v>0</v>
      </c>
      <c r="F54" s="247">
        <f>'Состав ВТК'!K52</f>
        <v>0</v>
      </c>
    </row>
    <row r="55" spans="1:6" hidden="1" outlineLevel="1" x14ac:dyDescent="0.25">
      <c r="A55" s="247">
        <v>45</v>
      </c>
      <c r="B55" s="349">
        <f>Распределение!B57</f>
        <v>0</v>
      </c>
      <c r="C55" s="349">
        <f>Распределение!L57</f>
        <v>0</v>
      </c>
      <c r="D55" s="349">
        <f>'Состав ВТК'!F53</f>
        <v>0</v>
      </c>
      <c r="E55" s="485">
        <f>'Состав ВТК'!J53</f>
        <v>0</v>
      </c>
      <c r="F55" s="247">
        <f>'Состав ВТК'!K53</f>
        <v>0</v>
      </c>
    </row>
    <row r="56" spans="1:6" hidden="1" outlineLevel="1" x14ac:dyDescent="0.25">
      <c r="A56" s="247">
        <v>46</v>
      </c>
      <c r="B56" s="349">
        <f>Распределение!B58</f>
        <v>0</v>
      </c>
      <c r="C56" s="349">
        <f>Распределение!L58</f>
        <v>0</v>
      </c>
      <c r="D56" s="349">
        <f>'Состав ВТК'!F54</f>
        <v>0</v>
      </c>
      <c r="E56" s="485">
        <f>'Состав ВТК'!J54</f>
        <v>0</v>
      </c>
      <c r="F56" s="247">
        <f>'Состав ВТК'!K54</f>
        <v>0</v>
      </c>
    </row>
    <row r="57" spans="1:6" hidden="1" outlineLevel="1" x14ac:dyDescent="0.25">
      <c r="A57" s="247">
        <v>47</v>
      </c>
      <c r="B57" s="349">
        <f>Распределение!B59</f>
        <v>0</v>
      </c>
      <c r="C57" s="349">
        <f>Распределение!L59</f>
        <v>0</v>
      </c>
      <c r="D57" s="349">
        <f>'Состав ВТК'!F55</f>
        <v>0</v>
      </c>
      <c r="E57" s="485">
        <f>'Состав ВТК'!J55</f>
        <v>0</v>
      </c>
      <c r="F57" s="247">
        <f>'Состав ВТК'!K55</f>
        <v>0</v>
      </c>
    </row>
    <row r="58" spans="1:6" hidden="1" outlineLevel="1" x14ac:dyDescent="0.25">
      <c r="A58" s="247">
        <v>48</v>
      </c>
      <c r="B58" s="349">
        <f>Распределение!B60</f>
        <v>0</v>
      </c>
      <c r="C58" s="349">
        <f>Распределение!L60</f>
        <v>0</v>
      </c>
      <c r="D58" s="349">
        <f>'Состав ВТК'!F56</f>
        <v>0</v>
      </c>
      <c r="E58" s="485">
        <f>'Состав ВТК'!J56</f>
        <v>0</v>
      </c>
      <c r="F58" s="247">
        <f>'Состав ВТК'!K56</f>
        <v>0</v>
      </c>
    </row>
    <row r="59" spans="1:6" hidden="1" outlineLevel="1" x14ac:dyDescent="0.25">
      <c r="A59" s="247">
        <v>49</v>
      </c>
      <c r="B59" s="349">
        <f>Распределение!B61</f>
        <v>0</v>
      </c>
      <c r="C59" s="349">
        <f>Распределение!L61</f>
        <v>0</v>
      </c>
      <c r="D59" s="349">
        <f>'Состав ВТК'!F57</f>
        <v>0</v>
      </c>
      <c r="E59" s="485">
        <f>'Состав ВТК'!J57</f>
        <v>0</v>
      </c>
      <c r="F59" s="247">
        <f>'Состав ВТК'!K57</f>
        <v>0</v>
      </c>
    </row>
    <row r="60" spans="1:6" hidden="1" outlineLevel="1" x14ac:dyDescent="0.25">
      <c r="A60" s="247">
        <v>50</v>
      </c>
      <c r="B60" s="349">
        <f>Распределение!B62</f>
        <v>0</v>
      </c>
      <c r="C60" s="349">
        <f>Распределение!L62</f>
        <v>0</v>
      </c>
      <c r="D60" s="349">
        <f>'Состав ВТК'!F58</f>
        <v>0</v>
      </c>
      <c r="E60" s="485">
        <f>'Состав ВТК'!J58</f>
        <v>0</v>
      </c>
      <c r="F60" s="247">
        <f>'Состав ВТК'!K58</f>
        <v>0</v>
      </c>
    </row>
    <row r="61" spans="1:6" hidden="1" outlineLevel="1" x14ac:dyDescent="0.25">
      <c r="A61" s="247">
        <v>51</v>
      </c>
      <c r="B61" s="349">
        <f>Распределение!B63</f>
        <v>0</v>
      </c>
      <c r="C61" s="349">
        <f>Распределение!L63</f>
        <v>0</v>
      </c>
      <c r="D61" s="349">
        <f>'Состав ВТК'!F59</f>
        <v>0</v>
      </c>
      <c r="E61" s="485">
        <f>'Состав ВТК'!J59</f>
        <v>0</v>
      </c>
      <c r="F61" s="247">
        <f>'Состав ВТК'!K59</f>
        <v>0</v>
      </c>
    </row>
    <row r="62" spans="1:6" hidden="1" outlineLevel="1" x14ac:dyDescent="0.25">
      <c r="A62" s="247">
        <v>52</v>
      </c>
      <c r="B62" s="349">
        <f>Распределение!B64</f>
        <v>0</v>
      </c>
      <c r="C62" s="349">
        <f>Распределение!L64</f>
        <v>0</v>
      </c>
      <c r="D62" s="349">
        <f>'Состав ВТК'!F60</f>
        <v>0</v>
      </c>
      <c r="E62" s="485">
        <f>'Состав ВТК'!J60</f>
        <v>0</v>
      </c>
      <c r="F62" s="247">
        <f>'Состав ВТК'!K60</f>
        <v>0</v>
      </c>
    </row>
    <row r="63" spans="1:6" hidden="1" outlineLevel="1" x14ac:dyDescent="0.25">
      <c r="A63" s="247">
        <v>53</v>
      </c>
      <c r="B63" s="349">
        <f>Распределение!B65</f>
        <v>0</v>
      </c>
      <c r="C63" s="349">
        <f>Распределение!L65</f>
        <v>0</v>
      </c>
      <c r="D63" s="349">
        <f>'Состав ВТК'!F61</f>
        <v>0</v>
      </c>
      <c r="E63" s="485">
        <f>'Состав ВТК'!J61</f>
        <v>0</v>
      </c>
      <c r="F63" s="247">
        <f>'Состав ВТК'!K61</f>
        <v>0</v>
      </c>
    </row>
    <row r="64" spans="1:6" hidden="1" outlineLevel="1" x14ac:dyDescent="0.25">
      <c r="A64" s="247">
        <v>54</v>
      </c>
      <c r="B64" s="349">
        <f>Распределение!B66</f>
        <v>0</v>
      </c>
      <c r="C64" s="349">
        <f>Распределение!L66</f>
        <v>0</v>
      </c>
      <c r="D64" s="349">
        <f>'Состав ВТК'!F62</f>
        <v>0</v>
      </c>
      <c r="E64" s="485">
        <f>'Состав ВТК'!J62</f>
        <v>0</v>
      </c>
      <c r="F64" s="247">
        <f>'Состав ВТК'!K62</f>
        <v>0</v>
      </c>
    </row>
    <row r="65" spans="1:6" hidden="1" outlineLevel="1" x14ac:dyDescent="0.25">
      <c r="A65" s="247">
        <v>55</v>
      </c>
      <c r="B65" s="349">
        <f>Распределение!B67</f>
        <v>0</v>
      </c>
      <c r="C65" s="349">
        <f>Распределение!L67</f>
        <v>0</v>
      </c>
      <c r="D65" s="349">
        <f>'Состав ВТК'!F63</f>
        <v>0</v>
      </c>
      <c r="E65" s="485">
        <f>'Состав ВТК'!J63</f>
        <v>0</v>
      </c>
      <c r="F65" s="247">
        <f>'Состав ВТК'!K63</f>
        <v>0</v>
      </c>
    </row>
    <row r="66" spans="1:6" hidden="1" outlineLevel="1" x14ac:dyDescent="0.25">
      <c r="A66" s="247">
        <v>56</v>
      </c>
      <c r="B66" s="349">
        <f>Распределение!B68</f>
        <v>0</v>
      </c>
      <c r="C66" s="349">
        <f>Распределение!L68</f>
        <v>0</v>
      </c>
      <c r="D66" s="349">
        <f>'Состав ВТК'!F64</f>
        <v>0</v>
      </c>
      <c r="E66" s="485">
        <f>'Состав ВТК'!J64</f>
        <v>0</v>
      </c>
      <c r="F66" s="247">
        <f>'Состав ВТК'!K64</f>
        <v>0</v>
      </c>
    </row>
    <row r="67" spans="1:6" hidden="1" outlineLevel="1" x14ac:dyDescent="0.25">
      <c r="A67" s="247">
        <v>57</v>
      </c>
      <c r="B67" s="349">
        <f>Распределение!B69</f>
        <v>0</v>
      </c>
      <c r="C67" s="349">
        <f>Распределение!L69</f>
        <v>0</v>
      </c>
      <c r="D67" s="349">
        <f>'Состав ВТК'!F65</f>
        <v>0</v>
      </c>
      <c r="E67" s="485">
        <f>'Состав ВТК'!J65</f>
        <v>0</v>
      </c>
      <c r="F67" s="247">
        <f>'Состав ВТК'!K65</f>
        <v>0</v>
      </c>
    </row>
    <row r="68" spans="1:6" hidden="1" outlineLevel="1" x14ac:dyDescent="0.25">
      <c r="A68" s="247">
        <v>58</v>
      </c>
      <c r="B68" s="349">
        <f>Распределение!B70</f>
        <v>0</v>
      </c>
      <c r="C68" s="349">
        <f>Распределение!L70</f>
        <v>0</v>
      </c>
      <c r="D68" s="349">
        <f>'Состав ВТК'!F66</f>
        <v>0</v>
      </c>
      <c r="E68" s="485">
        <f>'Состав ВТК'!J66</f>
        <v>0</v>
      </c>
      <c r="F68" s="247">
        <f>'Состав ВТК'!K66</f>
        <v>0</v>
      </c>
    </row>
    <row r="69" spans="1:6" hidden="1" outlineLevel="1" x14ac:dyDescent="0.25">
      <c r="A69" s="247">
        <v>59</v>
      </c>
      <c r="B69" s="349">
        <f>Распределение!B71</f>
        <v>0</v>
      </c>
      <c r="C69" s="349">
        <f>Распределение!L71</f>
        <v>0</v>
      </c>
      <c r="D69" s="349">
        <f>'Состав ВТК'!F67</f>
        <v>0</v>
      </c>
      <c r="E69" s="485">
        <f>'Состав ВТК'!J67</f>
        <v>0</v>
      </c>
      <c r="F69" s="247">
        <f>'Состав ВТК'!K67</f>
        <v>0</v>
      </c>
    </row>
    <row r="70" spans="1:6" hidden="1" outlineLevel="1" x14ac:dyDescent="0.25">
      <c r="A70" s="247">
        <v>60</v>
      </c>
      <c r="B70" s="349">
        <f>Распределение!B72</f>
        <v>0</v>
      </c>
      <c r="C70" s="349">
        <f>Распределение!L72</f>
        <v>0</v>
      </c>
      <c r="D70" s="349">
        <f>'Состав ВТК'!F68</f>
        <v>0</v>
      </c>
      <c r="E70" s="485">
        <f>'Состав ВТК'!J68</f>
        <v>0</v>
      </c>
      <c r="F70" s="247">
        <f>'Состав ВТК'!K68</f>
        <v>0</v>
      </c>
    </row>
    <row r="71" spans="1:6" hidden="1" outlineLevel="1" x14ac:dyDescent="0.25">
      <c r="A71" s="247">
        <v>61</v>
      </c>
      <c r="B71" s="349">
        <f>Распределение!B73</f>
        <v>0</v>
      </c>
      <c r="C71" s="349">
        <f>Распределение!L73</f>
        <v>0</v>
      </c>
      <c r="D71" s="349">
        <f>'Состав ВТК'!F69</f>
        <v>0</v>
      </c>
      <c r="E71" s="485">
        <f>'Состав ВТК'!J69</f>
        <v>0</v>
      </c>
      <c r="F71" s="247">
        <f>'Состав ВТК'!K69</f>
        <v>0</v>
      </c>
    </row>
    <row r="72" spans="1:6" hidden="1" outlineLevel="1" x14ac:dyDescent="0.25">
      <c r="A72" s="247">
        <v>62</v>
      </c>
      <c r="B72" s="349">
        <f>Распределение!B74</f>
        <v>0</v>
      </c>
      <c r="C72" s="349">
        <f>Распределение!L74</f>
        <v>0</v>
      </c>
      <c r="D72" s="349">
        <f>'Состав ВТК'!F70</f>
        <v>0</v>
      </c>
      <c r="E72" s="485">
        <f>'Состав ВТК'!J70</f>
        <v>0</v>
      </c>
      <c r="F72" s="247">
        <f>'Состав ВТК'!K70</f>
        <v>0</v>
      </c>
    </row>
    <row r="73" spans="1:6" hidden="1" outlineLevel="1" x14ac:dyDescent="0.25">
      <c r="A73" s="247">
        <v>63</v>
      </c>
      <c r="B73" s="349">
        <f>Распределение!B75</f>
        <v>0</v>
      </c>
      <c r="C73" s="349">
        <f>Распределение!L75</f>
        <v>0</v>
      </c>
      <c r="D73" s="349">
        <f>'Состав ВТК'!F71</f>
        <v>0</v>
      </c>
      <c r="E73" s="485">
        <f>'Состав ВТК'!J71</f>
        <v>0</v>
      </c>
      <c r="F73" s="247">
        <f>'Состав ВТК'!K71</f>
        <v>0</v>
      </c>
    </row>
    <row r="74" spans="1:6" hidden="1" outlineLevel="1" x14ac:dyDescent="0.25">
      <c r="A74" s="247">
        <v>64</v>
      </c>
      <c r="B74" s="349">
        <f>Распределение!B76</f>
        <v>0</v>
      </c>
      <c r="C74" s="349">
        <f>Распределение!L76</f>
        <v>0</v>
      </c>
      <c r="D74" s="349">
        <f>'Состав ВТК'!F72</f>
        <v>0</v>
      </c>
      <c r="E74" s="485">
        <f>'Состав ВТК'!J72</f>
        <v>0</v>
      </c>
      <c r="F74" s="247">
        <f>'Состав ВТК'!K72</f>
        <v>0</v>
      </c>
    </row>
    <row r="75" spans="1:6" hidden="1" outlineLevel="1" x14ac:dyDescent="0.25">
      <c r="A75" s="247">
        <v>65</v>
      </c>
      <c r="B75" s="349">
        <f>Распределение!B77</f>
        <v>0</v>
      </c>
      <c r="C75" s="349">
        <f>Распределение!L77</f>
        <v>0</v>
      </c>
      <c r="D75" s="349">
        <f>'Состав ВТК'!F73</f>
        <v>0</v>
      </c>
      <c r="E75" s="485">
        <f>'Состав ВТК'!J73</f>
        <v>0</v>
      </c>
      <c r="F75" s="247">
        <f>'Состав ВТК'!K73</f>
        <v>0</v>
      </c>
    </row>
    <row r="76" spans="1:6" hidden="1" outlineLevel="1" x14ac:dyDescent="0.25">
      <c r="A76" s="247">
        <v>66</v>
      </c>
      <c r="B76" s="349">
        <f>Распределение!B78</f>
        <v>0</v>
      </c>
      <c r="C76" s="349">
        <f>Распределение!L78</f>
        <v>0</v>
      </c>
      <c r="D76" s="349">
        <f>'Состав ВТК'!F74</f>
        <v>0</v>
      </c>
      <c r="E76" s="485">
        <f>'Состав ВТК'!J74</f>
        <v>0</v>
      </c>
      <c r="F76" s="247">
        <f>'Состав ВТК'!K74</f>
        <v>0</v>
      </c>
    </row>
    <row r="77" spans="1:6" hidden="1" outlineLevel="1" x14ac:dyDescent="0.25">
      <c r="A77" s="247">
        <v>67</v>
      </c>
      <c r="B77" s="349">
        <f>Распределение!B79</f>
        <v>0</v>
      </c>
      <c r="C77" s="349">
        <f>Распределение!L79</f>
        <v>0</v>
      </c>
      <c r="D77" s="349">
        <f>'Состав ВТК'!F75</f>
        <v>0</v>
      </c>
      <c r="E77" s="485">
        <f>'Состав ВТК'!J75</f>
        <v>0</v>
      </c>
      <c r="F77" s="247">
        <f>'Состав ВТК'!K75</f>
        <v>0</v>
      </c>
    </row>
    <row r="78" spans="1:6" hidden="1" outlineLevel="1" x14ac:dyDescent="0.25">
      <c r="A78" s="247">
        <v>68</v>
      </c>
      <c r="B78" s="349">
        <f>Распределение!B80</f>
        <v>0</v>
      </c>
      <c r="C78" s="349">
        <f>Распределение!L80</f>
        <v>0</v>
      </c>
      <c r="D78" s="349">
        <f>'Состав ВТК'!F76</f>
        <v>0</v>
      </c>
      <c r="E78" s="485">
        <f>'Состав ВТК'!J76</f>
        <v>0</v>
      </c>
      <c r="F78" s="247">
        <f>'Состав ВТК'!K76</f>
        <v>0</v>
      </c>
    </row>
    <row r="79" spans="1:6" hidden="1" outlineLevel="1" x14ac:dyDescent="0.25">
      <c r="A79" s="247">
        <v>69</v>
      </c>
      <c r="B79" s="349">
        <f>Распределение!B81</f>
        <v>0</v>
      </c>
      <c r="C79" s="349">
        <f>Распределение!L81</f>
        <v>0</v>
      </c>
      <c r="D79" s="349">
        <f>'Состав ВТК'!F77</f>
        <v>0</v>
      </c>
      <c r="E79" s="485">
        <f>'Состав ВТК'!J77</f>
        <v>0</v>
      </c>
      <c r="F79" s="247">
        <f>'Состав ВТК'!K77</f>
        <v>0</v>
      </c>
    </row>
    <row r="80" spans="1:6" hidden="1" outlineLevel="1" x14ac:dyDescent="0.25">
      <c r="A80" s="247">
        <v>70</v>
      </c>
      <c r="B80" s="349">
        <f>Распределение!B82</f>
        <v>0</v>
      </c>
      <c r="C80" s="349">
        <f>Распределение!L82</f>
        <v>0</v>
      </c>
      <c r="D80" s="349">
        <f>'Состав ВТК'!F78</f>
        <v>0</v>
      </c>
      <c r="E80" s="485">
        <f>'Состав ВТК'!J78</f>
        <v>0</v>
      </c>
      <c r="F80" s="247">
        <f>'Состав ВТК'!K78</f>
        <v>0</v>
      </c>
    </row>
    <row r="81" spans="1:6" hidden="1" outlineLevel="1" x14ac:dyDescent="0.25">
      <c r="A81" s="247">
        <v>71</v>
      </c>
      <c r="B81" s="349">
        <f>Распределение!B83</f>
        <v>0</v>
      </c>
      <c r="C81" s="349">
        <f>Распределение!L83</f>
        <v>0</v>
      </c>
      <c r="D81" s="349">
        <f>'Состав ВТК'!F79</f>
        <v>0</v>
      </c>
      <c r="E81" s="485">
        <f>'Состав ВТК'!J79</f>
        <v>0</v>
      </c>
      <c r="F81" s="247">
        <f>'Состав ВТК'!K79</f>
        <v>0</v>
      </c>
    </row>
    <row r="82" spans="1:6" hidden="1" outlineLevel="1" x14ac:dyDescent="0.25">
      <c r="A82" s="247">
        <v>72</v>
      </c>
      <c r="B82" s="349">
        <f>Распределение!B84</f>
        <v>0</v>
      </c>
      <c r="C82" s="349">
        <f>Распределение!L84</f>
        <v>0</v>
      </c>
      <c r="D82" s="349">
        <f>'Состав ВТК'!F80</f>
        <v>0</v>
      </c>
      <c r="E82" s="485">
        <f>'Состав ВТК'!J80</f>
        <v>0</v>
      </c>
      <c r="F82" s="247">
        <f>'Состав ВТК'!K80</f>
        <v>0</v>
      </c>
    </row>
    <row r="83" spans="1:6" hidden="1" outlineLevel="1" x14ac:dyDescent="0.25">
      <c r="A83" s="247">
        <v>73</v>
      </c>
      <c r="B83" s="349">
        <f>Распределение!B85</f>
        <v>0</v>
      </c>
      <c r="C83" s="349">
        <f>Распределение!L85</f>
        <v>0</v>
      </c>
      <c r="D83" s="349">
        <f>'Состав ВТК'!F81</f>
        <v>0</v>
      </c>
      <c r="E83" s="485">
        <f>'Состав ВТК'!J81</f>
        <v>0</v>
      </c>
      <c r="F83" s="247">
        <f>'Состав ВТК'!K81</f>
        <v>0</v>
      </c>
    </row>
    <row r="84" spans="1:6" hidden="1" outlineLevel="1" x14ac:dyDescent="0.25">
      <c r="A84" s="247">
        <v>74</v>
      </c>
      <c r="B84" s="349">
        <f>Распределение!B86</f>
        <v>0</v>
      </c>
      <c r="C84" s="349">
        <f>Распределение!L86</f>
        <v>0</v>
      </c>
      <c r="D84" s="349">
        <f>'Состав ВТК'!F82</f>
        <v>0</v>
      </c>
      <c r="E84" s="485">
        <f>'Состав ВТК'!J82</f>
        <v>0</v>
      </c>
      <c r="F84" s="247">
        <f>'Состав ВТК'!K82</f>
        <v>0</v>
      </c>
    </row>
    <row r="85" spans="1:6" hidden="1" outlineLevel="1" x14ac:dyDescent="0.25">
      <c r="A85" s="247">
        <v>75</v>
      </c>
      <c r="B85" s="349">
        <f>Распределение!B87</f>
        <v>0</v>
      </c>
      <c r="C85" s="349">
        <f>Распределение!L87</f>
        <v>0</v>
      </c>
      <c r="D85" s="349">
        <f>'Состав ВТК'!F83</f>
        <v>0</v>
      </c>
      <c r="E85" s="485">
        <f>'Состав ВТК'!J83</f>
        <v>0</v>
      </c>
      <c r="F85" s="247">
        <f>'Состав ВТК'!K83</f>
        <v>0</v>
      </c>
    </row>
    <row r="86" spans="1:6" hidden="1" outlineLevel="1" x14ac:dyDescent="0.25">
      <c r="A86" s="247">
        <v>76</v>
      </c>
      <c r="B86" s="349">
        <f>Распределение!B88</f>
        <v>0</v>
      </c>
      <c r="C86" s="349">
        <f>Распределение!L88</f>
        <v>0</v>
      </c>
      <c r="D86" s="349">
        <f>'Состав ВТК'!F84</f>
        <v>0</v>
      </c>
      <c r="E86" s="485">
        <f>'Состав ВТК'!J84</f>
        <v>0</v>
      </c>
      <c r="F86" s="247">
        <f>'Состав ВТК'!K84</f>
        <v>0</v>
      </c>
    </row>
    <row r="87" spans="1:6" hidden="1" outlineLevel="1" x14ac:dyDescent="0.25">
      <c r="A87" s="247">
        <v>77</v>
      </c>
      <c r="B87" s="349">
        <f>Распределение!B89</f>
        <v>0</v>
      </c>
      <c r="C87" s="349">
        <f>Распределение!L89</f>
        <v>0</v>
      </c>
      <c r="D87" s="349">
        <f>'Состав ВТК'!F85</f>
        <v>0</v>
      </c>
      <c r="E87" s="485">
        <f>'Состав ВТК'!J85</f>
        <v>0</v>
      </c>
      <c r="F87" s="247">
        <f>'Состав ВТК'!K85</f>
        <v>0</v>
      </c>
    </row>
    <row r="88" spans="1:6" hidden="1" outlineLevel="1" x14ac:dyDescent="0.25">
      <c r="A88" s="247">
        <v>78</v>
      </c>
      <c r="B88" s="349">
        <f>Распределение!B90</f>
        <v>0</v>
      </c>
      <c r="C88" s="349">
        <f>Распределение!L90</f>
        <v>0</v>
      </c>
      <c r="D88" s="349">
        <f>'Состав ВТК'!F86</f>
        <v>0</v>
      </c>
      <c r="E88" s="485">
        <f>'Состав ВТК'!J86</f>
        <v>0</v>
      </c>
      <c r="F88" s="247">
        <f>'Состав ВТК'!K86</f>
        <v>0</v>
      </c>
    </row>
    <row r="89" spans="1:6" hidden="1" outlineLevel="1" x14ac:dyDescent="0.25">
      <c r="A89" s="247">
        <v>79</v>
      </c>
      <c r="B89" s="349">
        <f>Распределение!B91</f>
        <v>0</v>
      </c>
      <c r="C89" s="349">
        <f>Распределение!L91</f>
        <v>0</v>
      </c>
      <c r="D89" s="349">
        <f>'Состав ВТК'!F87</f>
        <v>0</v>
      </c>
      <c r="E89" s="485">
        <f>'Состав ВТК'!J87</f>
        <v>0</v>
      </c>
      <c r="F89" s="247">
        <f>'Состав ВТК'!K87</f>
        <v>0</v>
      </c>
    </row>
    <row r="90" spans="1:6" hidden="1" outlineLevel="1" x14ac:dyDescent="0.25">
      <c r="A90" s="247">
        <v>80</v>
      </c>
      <c r="B90" s="349">
        <f>Распределение!B92</f>
        <v>0</v>
      </c>
      <c r="C90" s="349">
        <f>Распределение!L92</f>
        <v>0</v>
      </c>
      <c r="D90" s="349">
        <f>'Состав ВТК'!F88</f>
        <v>0</v>
      </c>
      <c r="E90" s="485">
        <f>'Состав ВТК'!J88</f>
        <v>0</v>
      </c>
      <c r="F90" s="247">
        <f>'Состав ВТК'!K88</f>
        <v>0</v>
      </c>
    </row>
    <row r="91" spans="1:6" hidden="1" outlineLevel="1" x14ac:dyDescent="0.25">
      <c r="A91" s="247">
        <v>81</v>
      </c>
      <c r="B91" s="349">
        <f>Распределение!B93</f>
        <v>0</v>
      </c>
      <c r="C91" s="349">
        <f>Распределение!L93</f>
        <v>0</v>
      </c>
      <c r="D91" s="349">
        <f>'Состав ВТК'!F89</f>
        <v>0</v>
      </c>
      <c r="E91" s="485">
        <f>'Состав ВТК'!J89</f>
        <v>0</v>
      </c>
      <c r="F91" s="247">
        <f>'Состав ВТК'!K89</f>
        <v>0</v>
      </c>
    </row>
    <row r="92" spans="1:6" hidden="1" outlineLevel="1" x14ac:dyDescent="0.25">
      <c r="A92" s="247">
        <v>82</v>
      </c>
      <c r="B92" s="349">
        <f>Распределение!B94</f>
        <v>0</v>
      </c>
      <c r="C92" s="349">
        <f>Распределение!L94</f>
        <v>0</v>
      </c>
      <c r="D92" s="349">
        <f>'Состав ВТК'!F90</f>
        <v>0</v>
      </c>
      <c r="E92" s="485">
        <f>'Состав ВТК'!J90</f>
        <v>0</v>
      </c>
      <c r="F92" s="247">
        <f>'Состав ВТК'!K90</f>
        <v>0</v>
      </c>
    </row>
    <row r="93" spans="1:6" hidden="1" outlineLevel="1" x14ac:dyDescent="0.25">
      <c r="A93" s="247">
        <v>83</v>
      </c>
      <c r="B93" s="349">
        <f>Распределение!B95</f>
        <v>0</v>
      </c>
      <c r="C93" s="349">
        <f>Распределение!L95</f>
        <v>0</v>
      </c>
      <c r="D93" s="349">
        <f>'Состав ВТК'!F91</f>
        <v>0</v>
      </c>
      <c r="E93" s="485">
        <f>'Состав ВТК'!J91</f>
        <v>0</v>
      </c>
      <c r="F93" s="247">
        <f>'Состав ВТК'!K91</f>
        <v>0</v>
      </c>
    </row>
    <row r="94" spans="1:6" hidden="1" outlineLevel="1" x14ac:dyDescent="0.25">
      <c r="A94" s="247">
        <v>84</v>
      </c>
      <c r="B94" s="349">
        <f>Распределение!B96</f>
        <v>0</v>
      </c>
      <c r="C94" s="349">
        <f>Распределение!L96</f>
        <v>0</v>
      </c>
      <c r="D94" s="349">
        <f>'Состав ВТК'!F92</f>
        <v>0</v>
      </c>
      <c r="E94" s="485">
        <f>'Состав ВТК'!J92</f>
        <v>0</v>
      </c>
      <c r="F94" s="247">
        <f>'Состав ВТК'!K92</f>
        <v>0</v>
      </c>
    </row>
    <row r="95" spans="1:6" hidden="1" outlineLevel="1" x14ac:dyDescent="0.25">
      <c r="A95" s="247">
        <v>85</v>
      </c>
      <c r="B95" s="349">
        <f>Распределение!B97</f>
        <v>0</v>
      </c>
      <c r="C95" s="349">
        <f>Распределение!L97</f>
        <v>0</v>
      </c>
      <c r="D95" s="349">
        <f>'Состав ВТК'!F93</f>
        <v>0</v>
      </c>
      <c r="E95" s="485">
        <f>'Состав ВТК'!J93</f>
        <v>0</v>
      </c>
      <c r="F95" s="247">
        <f>'Состав ВТК'!K93</f>
        <v>0</v>
      </c>
    </row>
    <row r="96" spans="1:6" hidden="1" outlineLevel="1" x14ac:dyDescent="0.25">
      <c r="A96" s="247">
        <v>86</v>
      </c>
      <c r="B96" s="349">
        <f>Распределение!B98</f>
        <v>0</v>
      </c>
      <c r="C96" s="349">
        <f>Распределение!L98</f>
        <v>0</v>
      </c>
      <c r="D96" s="349">
        <f>'Состав ВТК'!F94</f>
        <v>0</v>
      </c>
      <c r="E96" s="485">
        <f>'Состав ВТК'!J94</f>
        <v>0</v>
      </c>
      <c r="F96" s="247">
        <f>'Состав ВТК'!K94</f>
        <v>0</v>
      </c>
    </row>
    <row r="97" spans="1:6" hidden="1" outlineLevel="1" x14ac:dyDescent="0.25">
      <c r="A97" s="247">
        <v>87</v>
      </c>
      <c r="B97" s="349">
        <f>Распределение!B99</f>
        <v>0</v>
      </c>
      <c r="C97" s="349">
        <f>Распределение!L99</f>
        <v>0</v>
      </c>
      <c r="D97" s="349">
        <f>'Состав ВТК'!F95</f>
        <v>0</v>
      </c>
      <c r="E97" s="485">
        <f>'Состав ВТК'!J95</f>
        <v>0</v>
      </c>
      <c r="F97" s="247">
        <f>'Состав ВТК'!K95</f>
        <v>0</v>
      </c>
    </row>
    <row r="98" spans="1:6" hidden="1" outlineLevel="1" x14ac:dyDescent="0.25">
      <c r="A98" s="247">
        <v>88</v>
      </c>
      <c r="B98" s="349">
        <f>Распределение!B100</f>
        <v>0</v>
      </c>
      <c r="C98" s="349">
        <f>Распределение!L100</f>
        <v>0</v>
      </c>
      <c r="D98" s="349">
        <f>'Состав ВТК'!F96</f>
        <v>0</v>
      </c>
      <c r="E98" s="485">
        <f>'Состав ВТК'!J96</f>
        <v>0</v>
      </c>
      <c r="F98" s="247">
        <f>'Состав ВТК'!K96</f>
        <v>0</v>
      </c>
    </row>
    <row r="99" spans="1:6" hidden="1" outlineLevel="1" x14ac:dyDescent="0.25">
      <c r="A99" s="247">
        <v>89</v>
      </c>
      <c r="B99" s="349">
        <f>Распределение!B101</f>
        <v>0</v>
      </c>
      <c r="C99" s="349">
        <f>Распределение!L101</f>
        <v>0</v>
      </c>
      <c r="D99" s="349">
        <f>'Состав ВТК'!F97</f>
        <v>0</v>
      </c>
      <c r="E99" s="485">
        <f>'Состав ВТК'!J97</f>
        <v>0</v>
      </c>
      <c r="F99" s="247">
        <f>'Состав ВТК'!K97</f>
        <v>0</v>
      </c>
    </row>
    <row r="100" spans="1:6" hidden="1" outlineLevel="1" x14ac:dyDescent="0.25">
      <c r="A100" s="247">
        <v>90</v>
      </c>
      <c r="B100" s="349">
        <f>Распределение!B102</f>
        <v>0</v>
      </c>
      <c r="C100" s="349">
        <f>Распределение!L102</f>
        <v>0</v>
      </c>
      <c r="D100" s="349">
        <f>'Состав ВТК'!F98</f>
        <v>0</v>
      </c>
      <c r="E100" s="485">
        <f>'Состав ВТК'!J98</f>
        <v>0</v>
      </c>
      <c r="F100" s="247">
        <f>'Состав ВТК'!K98</f>
        <v>0</v>
      </c>
    </row>
    <row r="101" spans="1:6" hidden="1" outlineLevel="1" x14ac:dyDescent="0.25">
      <c r="A101" s="247">
        <v>91</v>
      </c>
      <c r="B101" s="349">
        <f>Распределение!B103</f>
        <v>0</v>
      </c>
      <c r="C101" s="349">
        <f>Распределение!L103</f>
        <v>0</v>
      </c>
      <c r="D101" s="349">
        <f>'Состав ВТК'!F99</f>
        <v>0</v>
      </c>
      <c r="E101" s="485">
        <f>'Состав ВТК'!J99</f>
        <v>0</v>
      </c>
      <c r="F101" s="247">
        <f>'Состав ВТК'!K99</f>
        <v>0</v>
      </c>
    </row>
    <row r="102" spans="1:6" hidden="1" outlineLevel="1" x14ac:dyDescent="0.25">
      <c r="A102" s="247">
        <v>92</v>
      </c>
      <c r="B102" s="349">
        <f>Распределение!B104</f>
        <v>0</v>
      </c>
      <c r="C102" s="349">
        <f>Распределение!L104</f>
        <v>0</v>
      </c>
      <c r="D102" s="349">
        <f>'Состав ВТК'!F100</f>
        <v>0</v>
      </c>
      <c r="E102" s="485">
        <f>'Состав ВТК'!J100</f>
        <v>0</v>
      </c>
      <c r="F102" s="247">
        <f>'Состав ВТК'!K100</f>
        <v>0</v>
      </c>
    </row>
    <row r="103" spans="1:6" hidden="1" outlineLevel="1" x14ac:dyDescent="0.25">
      <c r="A103" s="247">
        <v>93</v>
      </c>
      <c r="B103" s="349">
        <f>Распределение!B105</f>
        <v>0</v>
      </c>
      <c r="C103" s="349">
        <f>Распределение!L105</f>
        <v>0</v>
      </c>
      <c r="D103" s="349">
        <f>'Состав ВТК'!F101</f>
        <v>0</v>
      </c>
      <c r="E103" s="485">
        <f>'Состав ВТК'!J101</f>
        <v>0</v>
      </c>
      <c r="F103" s="247">
        <f>'Состав ВТК'!K101</f>
        <v>0</v>
      </c>
    </row>
    <row r="104" spans="1:6" hidden="1" outlineLevel="1" x14ac:dyDescent="0.25">
      <c r="A104" s="247">
        <v>94</v>
      </c>
      <c r="B104" s="349">
        <f>Распределение!B106</f>
        <v>0</v>
      </c>
      <c r="C104" s="349">
        <f>Распределение!L106</f>
        <v>0</v>
      </c>
      <c r="D104" s="349">
        <f>'Состав ВТК'!F102</f>
        <v>0</v>
      </c>
      <c r="E104" s="485">
        <f>'Состав ВТК'!J102</f>
        <v>0</v>
      </c>
      <c r="F104" s="247">
        <f>'Состав ВТК'!K102</f>
        <v>0</v>
      </c>
    </row>
    <row r="105" spans="1:6" hidden="1" outlineLevel="1" x14ac:dyDescent="0.25">
      <c r="A105" s="247">
        <v>95</v>
      </c>
      <c r="B105" s="349">
        <f>Распределение!B107</f>
        <v>0</v>
      </c>
      <c r="C105" s="349">
        <f>Распределение!L107</f>
        <v>0</v>
      </c>
      <c r="D105" s="349">
        <f>'Состав ВТК'!F103</f>
        <v>0</v>
      </c>
      <c r="E105" s="485">
        <f>'Состав ВТК'!J103</f>
        <v>0</v>
      </c>
      <c r="F105" s="247">
        <f>'Состав ВТК'!K103</f>
        <v>0</v>
      </c>
    </row>
    <row r="106" spans="1:6" hidden="1" outlineLevel="1" x14ac:dyDescent="0.25">
      <c r="A106" s="247">
        <v>96</v>
      </c>
      <c r="B106" s="349">
        <f>Распределение!B108</f>
        <v>0</v>
      </c>
      <c r="C106" s="349">
        <f>Распределение!L108</f>
        <v>0</v>
      </c>
      <c r="D106" s="349">
        <f>'Состав ВТК'!F104</f>
        <v>0</v>
      </c>
      <c r="E106" s="485">
        <f>'Состав ВТК'!J104</f>
        <v>0</v>
      </c>
      <c r="F106" s="247">
        <f>'Состав ВТК'!K104</f>
        <v>0</v>
      </c>
    </row>
    <row r="107" spans="1:6" hidden="1" outlineLevel="1" x14ac:dyDescent="0.25">
      <c r="A107" s="247">
        <v>97</v>
      </c>
      <c r="B107" s="349">
        <f>Распределение!B109</f>
        <v>0</v>
      </c>
      <c r="C107" s="349">
        <f>Распределение!L109</f>
        <v>0</v>
      </c>
      <c r="D107" s="349">
        <f>'Состав ВТК'!F105</f>
        <v>0</v>
      </c>
      <c r="E107" s="485">
        <f>'Состав ВТК'!J105</f>
        <v>0</v>
      </c>
      <c r="F107" s="247">
        <f>'Состав ВТК'!K105</f>
        <v>0</v>
      </c>
    </row>
    <row r="108" spans="1:6" hidden="1" outlineLevel="1" x14ac:dyDescent="0.25">
      <c r="A108" s="247">
        <v>98</v>
      </c>
      <c r="B108" s="349">
        <f>Распределение!B110</f>
        <v>0</v>
      </c>
      <c r="C108" s="349">
        <f>Распределение!L110</f>
        <v>0</v>
      </c>
      <c r="D108" s="349">
        <f>'Состав ВТК'!F106</f>
        <v>0</v>
      </c>
      <c r="E108" s="485">
        <f>'Состав ВТК'!J106</f>
        <v>0</v>
      </c>
      <c r="F108" s="247">
        <f>'Состав ВТК'!K106</f>
        <v>0</v>
      </c>
    </row>
    <row r="109" spans="1:6" s="9" customFormat="1" hidden="1" outlineLevel="1" x14ac:dyDescent="0.25">
      <c r="A109" s="681">
        <v>99</v>
      </c>
      <c r="B109" s="437">
        <f>Распределение!B111</f>
        <v>0</v>
      </c>
      <c r="C109" s="437">
        <f>Распределение!L111</f>
        <v>0</v>
      </c>
      <c r="D109" s="437">
        <f>'Состав ВТК'!F107</f>
        <v>0</v>
      </c>
      <c r="E109" s="682">
        <f>'Состав ВТК'!J107</f>
        <v>0</v>
      </c>
      <c r="F109" s="681">
        <f>'Состав ВТК'!K107</f>
        <v>0</v>
      </c>
    </row>
    <row r="110" spans="1:6" s="9" customFormat="1" hidden="1" x14ac:dyDescent="0.25">
      <c r="A110" s="681">
        <v>100</v>
      </c>
      <c r="B110" s="437">
        <f>Распределение!B112</f>
        <v>0</v>
      </c>
      <c r="C110" s="437">
        <f>Распределение!L112</f>
        <v>0</v>
      </c>
      <c r="D110" s="437">
        <f>'Состав ВТК'!F108</f>
        <v>0</v>
      </c>
      <c r="E110" s="682">
        <f>'Состав ВТК'!J108</f>
        <v>0</v>
      </c>
      <c r="F110" s="681">
        <f>'Состав ВТК'!K108</f>
        <v>0</v>
      </c>
    </row>
    <row r="111" spans="1:6" s="9" customFormat="1" ht="18.75" x14ac:dyDescent="0.25">
      <c r="A111" s="482"/>
      <c r="B111" s="483"/>
      <c r="C111" s="486"/>
      <c r="D111" s="486"/>
      <c r="E111" s="486"/>
      <c r="F111" s="539"/>
    </row>
    <row r="113" spans="2:5" ht="15.75" x14ac:dyDescent="0.25">
      <c r="B113" s="551" t="s">
        <v>274</v>
      </c>
      <c r="D113" s="900" t="str">
        <f>IFERROR(INDEX('Состав ВТК'!$1:$1048576,MATCH($B$113,'Состав ВТК'!J:J,0),MATCH($D$114,'Состав ВТК'!7:7,0)),"---")</f>
        <v>---</v>
      </c>
      <c r="E113" s="900"/>
    </row>
    <row r="114" spans="2:5" ht="15.75" x14ac:dyDescent="0.25">
      <c r="B114" s="552"/>
      <c r="D114" s="901" t="s">
        <v>2</v>
      </c>
      <c r="E114" s="901"/>
    </row>
    <row r="115" spans="2:5" ht="11.25" customHeight="1" x14ac:dyDescent="0.25">
      <c r="B115" s="552"/>
      <c r="C115" s="552"/>
      <c r="D115" s="723"/>
      <c r="E115" s="723"/>
    </row>
    <row r="116" spans="2:5" ht="15.75" x14ac:dyDescent="0.25">
      <c r="B116" s="551" t="s">
        <v>191</v>
      </c>
      <c r="D116" s="900" t="str">
        <f>Титул!$B$10</f>
        <v>-</v>
      </c>
      <c r="E116" s="900"/>
    </row>
    <row r="117" spans="2:5" ht="15.75" x14ac:dyDescent="0.25">
      <c r="B117" s="552"/>
      <c r="D117" s="901" t="s">
        <v>2</v>
      </c>
      <c r="E117" s="901"/>
    </row>
  </sheetData>
  <sheetProtection password="CF98" sheet="1" formatCells="0" formatColumns="0" formatRows="0" insertRows="0" insertHyperlinks="0" deleteRows="0" sort="0" autoFilter="0"/>
  <autoFilter ref="A10:E10"/>
  <mergeCells count="13">
    <mergeCell ref="C4:F4"/>
    <mergeCell ref="C5:F5"/>
    <mergeCell ref="C6:F6"/>
    <mergeCell ref="C7:F7"/>
    <mergeCell ref="A1:F1"/>
    <mergeCell ref="C3:F3"/>
    <mergeCell ref="A9:A10"/>
    <mergeCell ref="B9:B10"/>
    <mergeCell ref="D113:E113"/>
    <mergeCell ref="D117:E117"/>
    <mergeCell ref="C9:F9"/>
    <mergeCell ref="D114:E114"/>
    <mergeCell ref="D116:E116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5" tint="-0.249977111117893"/>
    <pageSetUpPr fitToPage="1"/>
  </sheetPr>
  <dimension ref="A1:D188"/>
  <sheetViews>
    <sheetView view="pageBreakPreview" zoomScale="70" zoomScaleNormal="85" zoomScaleSheetLayoutView="70" workbookViewId="0">
      <pane xSplit="1" ySplit="11" topLeftCell="B176" activePane="bottomRight" state="frozen"/>
      <selection pane="topRight" activeCell="B1" sqref="B1"/>
      <selection pane="bottomLeft" activeCell="A10" sqref="A10"/>
      <selection pane="bottomRight" activeCell="C185" sqref="C185"/>
    </sheetView>
  </sheetViews>
  <sheetFormatPr defaultColWidth="9.140625" defaultRowHeight="15" x14ac:dyDescent="0.25"/>
  <cols>
    <col min="1" max="1" width="12.28515625" style="1" customWidth="1"/>
    <col min="2" max="3" width="105.28515625" style="1" customWidth="1"/>
    <col min="4" max="4" width="36.5703125" style="51" customWidth="1" collapsed="1"/>
    <col min="5" max="16384" width="9.140625" style="1"/>
  </cols>
  <sheetData>
    <row r="1" spans="1:4" ht="33.75" customHeight="1" x14ac:dyDescent="0.25">
      <c r="A1" s="903" t="str">
        <f>Работы!A2</f>
        <v>Распределение трудозатрат по видам работ</v>
      </c>
      <c r="B1" s="903"/>
      <c r="C1" s="903"/>
      <c r="D1" s="903"/>
    </row>
    <row r="2" spans="1:4" ht="16.5" customHeight="1" x14ac:dyDescent="0.25">
      <c r="A2" s="330"/>
      <c r="B2" s="330"/>
      <c r="C2" s="330"/>
      <c r="D2" s="330"/>
    </row>
    <row r="3" spans="1:4" ht="18.75" x14ac:dyDescent="0.25">
      <c r="A3" s="889" t="str">
        <f>Титул!A5</f>
        <v>Номер_темы</v>
      </c>
      <c r="B3" s="889"/>
      <c r="C3" s="862">
        <f>Титул!B5</f>
        <v>0</v>
      </c>
      <c r="D3" s="862"/>
    </row>
    <row r="4" spans="1:4" ht="39" customHeight="1" x14ac:dyDescent="0.25">
      <c r="A4" s="889" t="str">
        <f>Титул!A6</f>
        <v>Наименование_темы</v>
      </c>
      <c r="B4" s="889"/>
      <c r="C4" s="862" t="str">
        <f>Титул!B6</f>
        <v>-</v>
      </c>
      <c r="D4" s="862"/>
    </row>
    <row r="5" spans="1:4" ht="18.75" x14ac:dyDescent="0.25">
      <c r="A5" s="889" t="str">
        <f>Титул!A7</f>
        <v>Вид_научного_исследования</v>
      </c>
      <c r="B5" s="889"/>
      <c r="C5" s="862" t="str">
        <f>Титул!B7</f>
        <v>-</v>
      </c>
      <c r="D5" s="862"/>
    </row>
    <row r="6" spans="1:4" ht="38.25" customHeight="1" x14ac:dyDescent="0.25">
      <c r="A6" s="889" t="s">
        <v>413</v>
      </c>
      <c r="B6" s="889"/>
      <c r="C6" s="862" t="str">
        <f>Титул!B8</f>
        <v>-</v>
      </c>
      <c r="D6" s="862"/>
    </row>
    <row r="7" spans="1:4" ht="18.75" customHeight="1" x14ac:dyDescent="0.25">
      <c r="A7" s="889" t="str">
        <f>Титул!A9</f>
        <v>Наименование_подразделения_НИСП</v>
      </c>
      <c r="B7" s="889"/>
      <c r="C7" s="862" t="str">
        <f>Титул!B9</f>
        <v>-</v>
      </c>
      <c r="D7" s="862"/>
    </row>
    <row r="8" spans="1:4" ht="18.75" customHeight="1" x14ac:dyDescent="0.25">
      <c r="A8" s="341"/>
      <c r="B8" s="341"/>
      <c r="C8" s="341"/>
      <c r="D8" s="341"/>
    </row>
    <row r="9" spans="1:4" ht="80.25" customHeight="1" x14ac:dyDescent="0.25">
      <c r="A9" s="787" t="str">
        <f>Работы!A8</f>
        <v>№ СПП элемента</v>
      </c>
      <c r="B9" s="787" t="str">
        <f>Работы!B8</f>
        <v>Виды работ 
(в соответствии с п.2 Технического задания)</v>
      </c>
      <c r="C9" s="787" t="str">
        <f>Работы!C8</f>
        <v>Индивидуальное плановое задание
(конкретизация видов работ)</v>
      </c>
      <c r="D9" s="787" t="str">
        <f>Работы!D8</f>
        <v>Трудозатраты, в часах</v>
      </c>
    </row>
    <row r="10" spans="1:4" ht="12.75" customHeight="1" x14ac:dyDescent="0.25">
      <c r="A10" s="787"/>
      <c r="B10" s="787"/>
      <c r="C10" s="787"/>
      <c r="D10" s="787"/>
    </row>
    <row r="11" spans="1:4" s="229" customFormat="1" ht="18.75" x14ac:dyDescent="0.3">
      <c r="A11" s="904" t="s">
        <v>3</v>
      </c>
      <c r="B11" s="904"/>
      <c r="C11" s="904"/>
      <c r="D11" s="720">
        <f>SUM(D12:D177)</f>
        <v>0</v>
      </c>
    </row>
    <row r="12" spans="1:4" ht="18.75" x14ac:dyDescent="0.25">
      <c r="A12" s="487">
        <f>Работы!A65</f>
        <v>0</v>
      </c>
      <c r="B12" s="488">
        <f>Работы!B65</f>
        <v>0</v>
      </c>
      <c r="C12" s="488">
        <f>Работы!C65</f>
        <v>0</v>
      </c>
      <c r="D12" s="717">
        <f>Работы!D65</f>
        <v>0</v>
      </c>
    </row>
    <row r="13" spans="1:4" ht="18.75" x14ac:dyDescent="0.25">
      <c r="A13" s="487">
        <f>Работы!A66</f>
        <v>0</v>
      </c>
      <c r="B13" s="488">
        <f>Работы!B66</f>
        <v>0</v>
      </c>
      <c r="C13" s="488">
        <f>Работы!C66</f>
        <v>0</v>
      </c>
      <c r="D13" s="717">
        <f>Работы!D66</f>
        <v>0</v>
      </c>
    </row>
    <row r="14" spans="1:4" ht="18.75" x14ac:dyDescent="0.25">
      <c r="A14" s="487">
        <f>Работы!A67</f>
        <v>0</v>
      </c>
      <c r="B14" s="488">
        <f>Работы!B67</f>
        <v>0</v>
      </c>
      <c r="C14" s="488">
        <f>Работы!C67</f>
        <v>0</v>
      </c>
      <c r="D14" s="717">
        <f>Работы!D67</f>
        <v>0</v>
      </c>
    </row>
    <row r="15" spans="1:4" ht="18.75" x14ac:dyDescent="0.25">
      <c r="A15" s="487">
        <f>Работы!A68</f>
        <v>0</v>
      </c>
      <c r="B15" s="488">
        <f>Работы!B68</f>
        <v>0</v>
      </c>
      <c r="C15" s="488">
        <f>Работы!C68</f>
        <v>0</v>
      </c>
      <c r="D15" s="717">
        <f>Работы!D68</f>
        <v>0</v>
      </c>
    </row>
    <row r="16" spans="1:4" ht="18.75" x14ac:dyDescent="0.25">
      <c r="A16" s="487">
        <f>Работы!A69</f>
        <v>0</v>
      </c>
      <c r="B16" s="488">
        <f>Работы!B69</f>
        <v>0</v>
      </c>
      <c r="C16" s="488">
        <f>Работы!C69</f>
        <v>0</v>
      </c>
      <c r="D16" s="717">
        <f>Работы!D69</f>
        <v>0</v>
      </c>
    </row>
    <row r="17" spans="1:4" ht="18.75" x14ac:dyDescent="0.25">
      <c r="A17" s="487">
        <f>Работы!A70</f>
        <v>0</v>
      </c>
      <c r="B17" s="488">
        <f>Работы!B70</f>
        <v>0</v>
      </c>
      <c r="C17" s="488">
        <f>Работы!C70</f>
        <v>0</v>
      </c>
      <c r="D17" s="717">
        <f>Работы!D70</f>
        <v>0</v>
      </c>
    </row>
    <row r="18" spans="1:4" ht="18.75" x14ac:dyDescent="0.25">
      <c r="A18" s="487">
        <f>Работы!A71</f>
        <v>0</v>
      </c>
      <c r="B18" s="488">
        <f>Работы!B71</f>
        <v>0</v>
      </c>
      <c r="C18" s="488">
        <f>Работы!C71</f>
        <v>0</v>
      </c>
      <c r="D18" s="717">
        <f>Работы!D71</f>
        <v>0</v>
      </c>
    </row>
    <row r="19" spans="1:4" ht="18.75" x14ac:dyDescent="0.25">
      <c r="A19" s="487">
        <f>Работы!A72</f>
        <v>0</v>
      </c>
      <c r="B19" s="488">
        <f>Работы!B72</f>
        <v>0</v>
      </c>
      <c r="C19" s="488">
        <f>Работы!C72</f>
        <v>0</v>
      </c>
      <c r="D19" s="717">
        <f>Работы!D72</f>
        <v>0</v>
      </c>
    </row>
    <row r="20" spans="1:4" ht="18.75" x14ac:dyDescent="0.25">
      <c r="A20" s="487">
        <f>Работы!A73</f>
        <v>0</v>
      </c>
      <c r="B20" s="488">
        <f>Работы!B73</f>
        <v>0</v>
      </c>
      <c r="C20" s="488">
        <f>Работы!C73</f>
        <v>0</v>
      </c>
      <c r="D20" s="717">
        <f>Работы!D73</f>
        <v>0</v>
      </c>
    </row>
    <row r="21" spans="1:4" ht="18.75" x14ac:dyDescent="0.25">
      <c r="A21" s="487">
        <f>Работы!A74</f>
        <v>0</v>
      </c>
      <c r="B21" s="488">
        <f>Работы!B74</f>
        <v>0</v>
      </c>
      <c r="C21" s="488">
        <f>Работы!C74</f>
        <v>0</v>
      </c>
      <c r="D21" s="717">
        <f>Работы!D74</f>
        <v>0</v>
      </c>
    </row>
    <row r="22" spans="1:4" ht="18.75" x14ac:dyDescent="0.25">
      <c r="A22" s="487">
        <f>Работы!A75</f>
        <v>0</v>
      </c>
      <c r="B22" s="488">
        <f>Работы!B75</f>
        <v>0</v>
      </c>
      <c r="C22" s="488">
        <f>Работы!C75</f>
        <v>0</v>
      </c>
      <c r="D22" s="717">
        <f>Работы!D75</f>
        <v>0</v>
      </c>
    </row>
    <row r="23" spans="1:4" ht="18.75" x14ac:dyDescent="0.25">
      <c r="A23" s="487">
        <f>Работы!A76</f>
        <v>0</v>
      </c>
      <c r="B23" s="488">
        <f>Работы!B76</f>
        <v>0</v>
      </c>
      <c r="C23" s="488">
        <f>Работы!C76</f>
        <v>0</v>
      </c>
      <c r="D23" s="717">
        <f>Работы!D76</f>
        <v>0</v>
      </c>
    </row>
    <row r="24" spans="1:4" ht="18.75" x14ac:dyDescent="0.25">
      <c r="A24" s="487">
        <f>Работы!A77</f>
        <v>0</v>
      </c>
      <c r="B24" s="488">
        <f>Работы!B77</f>
        <v>0</v>
      </c>
      <c r="C24" s="488">
        <f>Работы!C77</f>
        <v>0</v>
      </c>
      <c r="D24" s="717">
        <f>Работы!D77</f>
        <v>0</v>
      </c>
    </row>
    <row r="25" spans="1:4" ht="18.75" x14ac:dyDescent="0.25">
      <c r="A25" s="487">
        <f>Работы!A78</f>
        <v>0</v>
      </c>
      <c r="B25" s="488">
        <f>Работы!B78</f>
        <v>0</v>
      </c>
      <c r="C25" s="488">
        <f>Работы!C78</f>
        <v>0</v>
      </c>
      <c r="D25" s="717">
        <f>Работы!D78</f>
        <v>0</v>
      </c>
    </row>
    <row r="26" spans="1:4" ht="18.75" x14ac:dyDescent="0.25">
      <c r="A26" s="487">
        <f>Работы!A79</f>
        <v>0</v>
      </c>
      <c r="B26" s="488">
        <f>Работы!B79</f>
        <v>0</v>
      </c>
      <c r="C26" s="488">
        <f>Работы!C79</f>
        <v>0</v>
      </c>
      <c r="D26" s="717">
        <f>Работы!D79</f>
        <v>0</v>
      </c>
    </row>
    <row r="27" spans="1:4" ht="18.75" x14ac:dyDescent="0.25">
      <c r="A27" s="487">
        <f>Работы!A80</f>
        <v>0</v>
      </c>
      <c r="B27" s="488">
        <f>Работы!B80</f>
        <v>0</v>
      </c>
      <c r="C27" s="488">
        <f>Работы!C80</f>
        <v>0</v>
      </c>
      <c r="D27" s="717">
        <f>Работы!D80</f>
        <v>0</v>
      </c>
    </row>
    <row r="28" spans="1:4" ht="18.75" x14ac:dyDescent="0.25">
      <c r="A28" s="487">
        <f>Работы!A81</f>
        <v>0</v>
      </c>
      <c r="B28" s="488">
        <f>Работы!B81</f>
        <v>0</v>
      </c>
      <c r="C28" s="488">
        <f>Работы!C81</f>
        <v>0</v>
      </c>
      <c r="D28" s="717">
        <f>Работы!D81</f>
        <v>0</v>
      </c>
    </row>
    <row r="29" spans="1:4" ht="18.75" x14ac:dyDescent="0.25">
      <c r="A29" s="487">
        <f>Работы!A82</f>
        <v>0</v>
      </c>
      <c r="B29" s="488">
        <f>Работы!B82</f>
        <v>0</v>
      </c>
      <c r="C29" s="488">
        <f>Работы!C82</f>
        <v>0</v>
      </c>
      <c r="D29" s="717">
        <f>Работы!D82</f>
        <v>0</v>
      </c>
    </row>
    <row r="30" spans="1:4" ht="18.75" x14ac:dyDescent="0.25">
      <c r="A30" s="487">
        <f>Работы!A83</f>
        <v>0</v>
      </c>
      <c r="B30" s="488">
        <f>Работы!B83</f>
        <v>0</v>
      </c>
      <c r="C30" s="488">
        <f>Работы!C83</f>
        <v>0</v>
      </c>
      <c r="D30" s="717">
        <f>Работы!D83</f>
        <v>0</v>
      </c>
    </row>
    <row r="31" spans="1:4" ht="18.75" x14ac:dyDescent="0.25">
      <c r="A31" s="487">
        <f>Работы!A84</f>
        <v>0</v>
      </c>
      <c r="B31" s="488">
        <f>Работы!B84</f>
        <v>0</v>
      </c>
      <c r="C31" s="488">
        <f>Работы!C84</f>
        <v>0</v>
      </c>
      <c r="D31" s="717">
        <f>Работы!D84</f>
        <v>0</v>
      </c>
    </row>
    <row r="32" spans="1:4" ht="18.75" x14ac:dyDescent="0.25">
      <c r="A32" s="487">
        <f>Работы!A85</f>
        <v>0</v>
      </c>
      <c r="B32" s="488">
        <f>Работы!B85</f>
        <v>0</v>
      </c>
      <c r="C32" s="488">
        <f>Работы!C85</f>
        <v>0</v>
      </c>
      <c r="D32" s="717">
        <f>Работы!D85</f>
        <v>0</v>
      </c>
    </row>
    <row r="33" spans="1:4" ht="18.75" x14ac:dyDescent="0.25">
      <c r="A33" s="487">
        <f>Работы!A86</f>
        <v>0</v>
      </c>
      <c r="B33" s="488">
        <f>Работы!B86</f>
        <v>0</v>
      </c>
      <c r="C33" s="488">
        <f>Работы!C86</f>
        <v>0</v>
      </c>
      <c r="D33" s="717">
        <f>Работы!D86</f>
        <v>0</v>
      </c>
    </row>
    <row r="34" spans="1:4" ht="18.75" x14ac:dyDescent="0.25">
      <c r="A34" s="487">
        <f>Работы!A87</f>
        <v>0</v>
      </c>
      <c r="B34" s="488">
        <f>Работы!B87</f>
        <v>0</v>
      </c>
      <c r="C34" s="488">
        <f>Работы!C87</f>
        <v>0</v>
      </c>
      <c r="D34" s="717">
        <f>Работы!D87</f>
        <v>0</v>
      </c>
    </row>
    <row r="35" spans="1:4" ht="18.75" x14ac:dyDescent="0.25">
      <c r="A35" s="487">
        <f>Работы!A88</f>
        <v>0</v>
      </c>
      <c r="B35" s="488">
        <f>Работы!B88</f>
        <v>0</v>
      </c>
      <c r="C35" s="488">
        <f>Работы!C88</f>
        <v>0</v>
      </c>
      <c r="D35" s="717">
        <f>Работы!D88</f>
        <v>0</v>
      </c>
    </row>
    <row r="36" spans="1:4" ht="18.75" x14ac:dyDescent="0.25">
      <c r="A36" s="487">
        <f>Работы!A89</f>
        <v>0</v>
      </c>
      <c r="B36" s="488">
        <f>Работы!B89</f>
        <v>0</v>
      </c>
      <c r="C36" s="488">
        <f>Работы!C89</f>
        <v>0</v>
      </c>
      <c r="D36" s="717">
        <f>Работы!D89</f>
        <v>0</v>
      </c>
    </row>
    <row r="37" spans="1:4" s="9" customFormat="1" ht="18.75" x14ac:dyDescent="0.25">
      <c r="A37" s="487">
        <f>Работы!A90</f>
        <v>0</v>
      </c>
      <c r="B37" s="488">
        <f>Работы!B90</f>
        <v>0</v>
      </c>
      <c r="C37" s="488">
        <f>Работы!C90</f>
        <v>0</v>
      </c>
      <c r="D37" s="717">
        <f>Работы!D90</f>
        <v>0</v>
      </c>
    </row>
    <row r="38" spans="1:4" s="9" customFormat="1" ht="18.75" x14ac:dyDescent="0.25">
      <c r="A38" s="487">
        <f>Работы!A91</f>
        <v>0</v>
      </c>
      <c r="B38" s="488">
        <f>Работы!B91</f>
        <v>0</v>
      </c>
      <c r="C38" s="488">
        <f>Работы!C91</f>
        <v>0</v>
      </c>
      <c r="D38" s="717">
        <f>Работы!D91</f>
        <v>0</v>
      </c>
    </row>
    <row r="39" spans="1:4" s="9" customFormat="1" ht="18.75" x14ac:dyDescent="0.25">
      <c r="A39" s="487">
        <f>Работы!A92</f>
        <v>0</v>
      </c>
      <c r="B39" s="488">
        <f>Работы!B92</f>
        <v>0</v>
      </c>
      <c r="C39" s="488">
        <f>Работы!C92</f>
        <v>0</v>
      </c>
      <c r="D39" s="717">
        <f>Работы!D92</f>
        <v>0</v>
      </c>
    </row>
    <row r="40" spans="1:4" s="9" customFormat="1" ht="18.75" x14ac:dyDescent="0.25">
      <c r="A40" s="487">
        <f>Работы!A93</f>
        <v>0</v>
      </c>
      <c r="B40" s="488">
        <f>Работы!B93</f>
        <v>0</v>
      </c>
      <c r="C40" s="488">
        <f>Работы!C93</f>
        <v>0</v>
      </c>
      <c r="D40" s="717">
        <f>Работы!D93</f>
        <v>0</v>
      </c>
    </row>
    <row r="41" spans="1:4" s="9" customFormat="1" ht="18.75" x14ac:dyDescent="0.25">
      <c r="A41" s="487">
        <f>Работы!A94</f>
        <v>0</v>
      </c>
      <c r="B41" s="488">
        <f>Работы!B94</f>
        <v>0</v>
      </c>
      <c r="C41" s="488">
        <f>Работы!C94</f>
        <v>0</v>
      </c>
      <c r="D41" s="717">
        <f>Работы!D94</f>
        <v>0</v>
      </c>
    </row>
    <row r="42" spans="1:4" s="9" customFormat="1" ht="18.75" x14ac:dyDescent="0.25">
      <c r="A42" s="487">
        <f>Работы!A95</f>
        <v>0</v>
      </c>
      <c r="B42" s="488">
        <f>Работы!B95</f>
        <v>0</v>
      </c>
      <c r="C42" s="488">
        <f>Работы!C95</f>
        <v>0</v>
      </c>
      <c r="D42" s="717">
        <f>Работы!D95</f>
        <v>0</v>
      </c>
    </row>
    <row r="43" spans="1:4" s="9" customFormat="1" ht="18.75" x14ac:dyDescent="0.25">
      <c r="A43" s="487">
        <f>Работы!A96</f>
        <v>0</v>
      </c>
      <c r="B43" s="488">
        <f>Работы!B96</f>
        <v>0</v>
      </c>
      <c r="C43" s="488">
        <f>Работы!C96</f>
        <v>0</v>
      </c>
      <c r="D43" s="717">
        <f>Работы!D96</f>
        <v>0</v>
      </c>
    </row>
    <row r="44" spans="1:4" s="9" customFormat="1" ht="18.75" x14ac:dyDescent="0.25">
      <c r="A44" s="487">
        <f>Работы!A97</f>
        <v>0</v>
      </c>
      <c r="B44" s="488">
        <f>Работы!B97</f>
        <v>0</v>
      </c>
      <c r="C44" s="488">
        <f>Работы!C97</f>
        <v>0</v>
      </c>
      <c r="D44" s="717">
        <f>Работы!D97</f>
        <v>0</v>
      </c>
    </row>
    <row r="45" spans="1:4" s="9" customFormat="1" ht="18.75" x14ac:dyDescent="0.25">
      <c r="A45" s="487">
        <f>Работы!A98</f>
        <v>0</v>
      </c>
      <c r="B45" s="488">
        <f>Работы!B98</f>
        <v>0</v>
      </c>
      <c r="C45" s="488">
        <f>Работы!C98</f>
        <v>0</v>
      </c>
      <c r="D45" s="717">
        <f>Работы!D98</f>
        <v>0</v>
      </c>
    </row>
    <row r="46" spans="1:4" s="9" customFormat="1" ht="18.75" x14ac:dyDescent="0.25">
      <c r="A46" s="487">
        <f>Работы!A99</f>
        <v>0</v>
      </c>
      <c r="B46" s="488">
        <f>Работы!B99</f>
        <v>0</v>
      </c>
      <c r="C46" s="488">
        <f>Работы!C99</f>
        <v>0</v>
      </c>
      <c r="D46" s="717">
        <f>Работы!D99</f>
        <v>0</v>
      </c>
    </row>
    <row r="47" spans="1:4" s="9" customFormat="1" ht="18.75" x14ac:dyDescent="0.25">
      <c r="A47" s="487">
        <f>Работы!A100</f>
        <v>0</v>
      </c>
      <c r="B47" s="488">
        <f>Работы!B100</f>
        <v>0</v>
      </c>
      <c r="C47" s="488">
        <f>Работы!C100</f>
        <v>0</v>
      </c>
      <c r="D47" s="717">
        <f>Работы!D100</f>
        <v>0</v>
      </c>
    </row>
    <row r="48" spans="1:4" s="9" customFormat="1" ht="18.75" x14ac:dyDescent="0.25">
      <c r="A48" s="487">
        <f>Работы!A101</f>
        <v>0</v>
      </c>
      <c r="B48" s="488">
        <f>Работы!B101</f>
        <v>0</v>
      </c>
      <c r="C48" s="488">
        <f>Работы!C101</f>
        <v>0</v>
      </c>
      <c r="D48" s="717">
        <f>Работы!D101</f>
        <v>0</v>
      </c>
    </row>
    <row r="49" spans="1:4" s="9" customFormat="1" ht="18.75" x14ac:dyDescent="0.25">
      <c r="A49" s="487">
        <f>Работы!A102</f>
        <v>0</v>
      </c>
      <c r="B49" s="488">
        <f>Работы!B102</f>
        <v>0</v>
      </c>
      <c r="C49" s="488">
        <f>Работы!C102</f>
        <v>0</v>
      </c>
      <c r="D49" s="717">
        <f>Работы!D102</f>
        <v>0</v>
      </c>
    </row>
    <row r="50" spans="1:4" s="9" customFormat="1" ht="18.75" x14ac:dyDescent="0.25">
      <c r="A50" s="487">
        <f>Работы!A103</f>
        <v>0</v>
      </c>
      <c r="B50" s="488">
        <f>Работы!B103</f>
        <v>0</v>
      </c>
      <c r="C50" s="488">
        <f>Работы!C103</f>
        <v>0</v>
      </c>
      <c r="D50" s="717">
        <f>Работы!D103</f>
        <v>0</v>
      </c>
    </row>
    <row r="51" spans="1:4" s="9" customFormat="1" ht="18.75" x14ac:dyDescent="0.25">
      <c r="A51" s="487">
        <f>Работы!A104</f>
        <v>0</v>
      </c>
      <c r="B51" s="488">
        <f>Работы!B104</f>
        <v>0</v>
      </c>
      <c r="C51" s="488">
        <f>Работы!C104</f>
        <v>0</v>
      </c>
      <c r="D51" s="717">
        <f>Работы!D104</f>
        <v>0</v>
      </c>
    </row>
    <row r="52" spans="1:4" s="9" customFormat="1" ht="18.75" x14ac:dyDescent="0.25">
      <c r="A52" s="487">
        <f>Работы!A105</f>
        <v>0</v>
      </c>
      <c r="B52" s="488">
        <f>Работы!B105</f>
        <v>0</v>
      </c>
      <c r="C52" s="488">
        <f>Работы!C105</f>
        <v>0</v>
      </c>
      <c r="D52" s="717">
        <f>Работы!D105</f>
        <v>0</v>
      </c>
    </row>
    <row r="53" spans="1:4" s="9" customFormat="1" ht="18.75" x14ac:dyDescent="0.25">
      <c r="A53" s="487">
        <f>Работы!A106</f>
        <v>0</v>
      </c>
      <c r="B53" s="488">
        <f>Работы!B106</f>
        <v>0</v>
      </c>
      <c r="C53" s="488">
        <f>Работы!C106</f>
        <v>0</v>
      </c>
      <c r="D53" s="717">
        <f>Работы!D106</f>
        <v>0</v>
      </c>
    </row>
    <row r="54" spans="1:4" s="9" customFormat="1" ht="18.75" x14ac:dyDescent="0.25">
      <c r="A54" s="487">
        <f>Работы!A107</f>
        <v>0</v>
      </c>
      <c r="B54" s="488">
        <f>Работы!B107</f>
        <v>0</v>
      </c>
      <c r="C54" s="488">
        <f>Работы!C107</f>
        <v>0</v>
      </c>
      <c r="D54" s="717">
        <f>Работы!D107</f>
        <v>0</v>
      </c>
    </row>
    <row r="55" spans="1:4" s="9" customFormat="1" ht="18.75" x14ac:dyDescent="0.25">
      <c r="A55" s="487">
        <f>Работы!A108</f>
        <v>0</v>
      </c>
      <c r="B55" s="488">
        <f>Работы!B108</f>
        <v>0</v>
      </c>
      <c r="C55" s="488">
        <f>Работы!C108</f>
        <v>0</v>
      </c>
      <c r="D55" s="717">
        <f>Работы!D108</f>
        <v>0</v>
      </c>
    </row>
    <row r="56" spans="1:4" s="9" customFormat="1" ht="18.75" x14ac:dyDescent="0.25">
      <c r="A56" s="487">
        <f>Работы!A109</f>
        <v>0</v>
      </c>
      <c r="B56" s="488">
        <f>Работы!B109</f>
        <v>0</v>
      </c>
      <c r="C56" s="488">
        <f>Работы!C109</f>
        <v>0</v>
      </c>
      <c r="D56" s="717">
        <f>Работы!D109</f>
        <v>0</v>
      </c>
    </row>
    <row r="57" spans="1:4" s="9" customFormat="1" ht="18.75" x14ac:dyDescent="0.25">
      <c r="A57" s="487">
        <f>Работы!A110</f>
        <v>0</v>
      </c>
      <c r="B57" s="488">
        <f>Работы!B110</f>
        <v>0</v>
      </c>
      <c r="C57" s="488">
        <f>Работы!C110</f>
        <v>0</v>
      </c>
      <c r="D57" s="717">
        <f>Работы!D110</f>
        <v>0</v>
      </c>
    </row>
    <row r="58" spans="1:4" s="9" customFormat="1" ht="18.75" x14ac:dyDescent="0.25">
      <c r="A58" s="487">
        <f>Работы!A111</f>
        <v>0</v>
      </c>
      <c r="B58" s="488">
        <f>Работы!B111</f>
        <v>0</v>
      </c>
      <c r="C58" s="488">
        <f>Работы!C111</f>
        <v>0</v>
      </c>
      <c r="D58" s="717">
        <f>Работы!D111</f>
        <v>0</v>
      </c>
    </row>
    <row r="59" spans="1:4" s="9" customFormat="1" ht="18.75" x14ac:dyDescent="0.25">
      <c r="A59" s="487">
        <f>Работы!A112</f>
        <v>0</v>
      </c>
      <c r="B59" s="488">
        <f>Работы!B112</f>
        <v>0</v>
      </c>
      <c r="C59" s="488">
        <f>Работы!C112</f>
        <v>0</v>
      </c>
      <c r="D59" s="717">
        <f>Работы!D112</f>
        <v>0</v>
      </c>
    </row>
    <row r="60" spans="1:4" s="9" customFormat="1" ht="18.75" x14ac:dyDescent="0.25">
      <c r="A60" s="487">
        <f>Работы!A113</f>
        <v>0</v>
      </c>
      <c r="B60" s="488">
        <f>Работы!B113</f>
        <v>0</v>
      </c>
      <c r="C60" s="488">
        <f>Работы!C113</f>
        <v>0</v>
      </c>
      <c r="D60" s="717">
        <f>Работы!D113</f>
        <v>0</v>
      </c>
    </row>
    <row r="61" spans="1:4" s="9" customFormat="1" ht="18.75" x14ac:dyDescent="0.25">
      <c r="A61" s="487">
        <f>Работы!A114</f>
        <v>0</v>
      </c>
      <c r="B61" s="488">
        <f>Работы!B114</f>
        <v>0</v>
      </c>
      <c r="C61" s="488">
        <f>Работы!C114</f>
        <v>0</v>
      </c>
      <c r="D61" s="717">
        <f>Работы!D114</f>
        <v>0</v>
      </c>
    </row>
    <row r="62" spans="1:4" s="9" customFormat="1" ht="18.75" x14ac:dyDescent="0.25">
      <c r="A62" s="487">
        <f>Работы!A115</f>
        <v>0</v>
      </c>
      <c r="B62" s="488">
        <f>Работы!B115</f>
        <v>0</v>
      </c>
      <c r="C62" s="488">
        <f>Работы!C115</f>
        <v>0</v>
      </c>
      <c r="D62" s="717">
        <f>Работы!D115</f>
        <v>0</v>
      </c>
    </row>
    <row r="63" spans="1:4" s="9" customFormat="1" ht="18.75" x14ac:dyDescent="0.25">
      <c r="A63" s="487">
        <f>Работы!A116</f>
        <v>0</v>
      </c>
      <c r="B63" s="488">
        <f>Работы!B116</f>
        <v>0</v>
      </c>
      <c r="C63" s="488">
        <f>Работы!C116</f>
        <v>0</v>
      </c>
      <c r="D63" s="717">
        <f>Работы!D116</f>
        <v>0</v>
      </c>
    </row>
    <row r="64" spans="1:4" s="9" customFormat="1" ht="18.75" x14ac:dyDescent="0.25">
      <c r="A64" s="487">
        <f>Работы!A117</f>
        <v>0</v>
      </c>
      <c r="B64" s="488">
        <f>Работы!B117</f>
        <v>0</v>
      </c>
      <c r="C64" s="488">
        <f>Работы!C117</f>
        <v>0</v>
      </c>
      <c r="D64" s="717">
        <f>Работы!D117</f>
        <v>0</v>
      </c>
    </row>
    <row r="65" spans="1:4" s="9" customFormat="1" ht="18.75" x14ac:dyDescent="0.25">
      <c r="A65" s="487">
        <f>Работы!A118</f>
        <v>0</v>
      </c>
      <c r="B65" s="488">
        <f>Работы!B118</f>
        <v>0</v>
      </c>
      <c r="C65" s="488">
        <f>Работы!C118</f>
        <v>0</v>
      </c>
      <c r="D65" s="717">
        <f>Работы!D118</f>
        <v>0</v>
      </c>
    </row>
    <row r="66" spans="1:4" s="9" customFormat="1" ht="18.75" x14ac:dyDescent="0.25">
      <c r="A66" s="487">
        <f>Работы!A119</f>
        <v>0</v>
      </c>
      <c r="B66" s="488">
        <f>Работы!B119</f>
        <v>0</v>
      </c>
      <c r="C66" s="488">
        <f>Работы!C119</f>
        <v>0</v>
      </c>
      <c r="D66" s="717">
        <f>Работы!D119</f>
        <v>0</v>
      </c>
    </row>
    <row r="67" spans="1:4" s="9" customFormat="1" ht="18.75" x14ac:dyDescent="0.25">
      <c r="A67" s="487">
        <f>Работы!A120</f>
        <v>0</v>
      </c>
      <c r="B67" s="488">
        <f>Работы!B120</f>
        <v>0</v>
      </c>
      <c r="C67" s="488">
        <f>Работы!C120</f>
        <v>0</v>
      </c>
      <c r="D67" s="717">
        <f>Работы!D120</f>
        <v>0</v>
      </c>
    </row>
    <row r="68" spans="1:4" s="9" customFormat="1" ht="18.75" x14ac:dyDescent="0.25">
      <c r="A68" s="487">
        <f>Работы!A121</f>
        <v>0</v>
      </c>
      <c r="B68" s="488">
        <f>Работы!B121</f>
        <v>0</v>
      </c>
      <c r="C68" s="488">
        <f>Работы!C121</f>
        <v>0</v>
      </c>
      <c r="D68" s="717">
        <f>Работы!D121</f>
        <v>0</v>
      </c>
    </row>
    <row r="69" spans="1:4" s="9" customFormat="1" ht="18.75" x14ac:dyDescent="0.25">
      <c r="A69" s="487">
        <f>Работы!A122</f>
        <v>0</v>
      </c>
      <c r="B69" s="488">
        <f>Работы!B122</f>
        <v>0</v>
      </c>
      <c r="C69" s="488">
        <f>Работы!C122</f>
        <v>0</v>
      </c>
      <c r="D69" s="717">
        <f>Работы!D122</f>
        <v>0</v>
      </c>
    </row>
    <row r="70" spans="1:4" s="9" customFormat="1" ht="18.75" x14ac:dyDescent="0.25">
      <c r="A70" s="487">
        <f>Работы!A123</f>
        <v>0</v>
      </c>
      <c r="B70" s="488">
        <f>Работы!B123</f>
        <v>0</v>
      </c>
      <c r="C70" s="488">
        <f>Работы!C123</f>
        <v>0</v>
      </c>
      <c r="D70" s="717">
        <f>Работы!D123</f>
        <v>0</v>
      </c>
    </row>
    <row r="71" spans="1:4" s="9" customFormat="1" ht="18.75" x14ac:dyDescent="0.25">
      <c r="A71" s="487">
        <f>Работы!A124</f>
        <v>0</v>
      </c>
      <c r="B71" s="488">
        <f>Работы!B124</f>
        <v>0</v>
      </c>
      <c r="C71" s="488">
        <f>Работы!C124</f>
        <v>0</v>
      </c>
      <c r="D71" s="717">
        <f>Работы!D124</f>
        <v>0</v>
      </c>
    </row>
    <row r="72" spans="1:4" s="9" customFormat="1" ht="18.75" x14ac:dyDescent="0.25">
      <c r="A72" s="487">
        <f>Работы!A125</f>
        <v>0</v>
      </c>
      <c r="B72" s="488">
        <f>Работы!B125</f>
        <v>0</v>
      </c>
      <c r="C72" s="488">
        <f>Работы!C125</f>
        <v>0</v>
      </c>
      <c r="D72" s="717">
        <f>Работы!D125</f>
        <v>0</v>
      </c>
    </row>
    <row r="73" spans="1:4" s="9" customFormat="1" ht="18.75" x14ac:dyDescent="0.25">
      <c r="A73" s="487">
        <f>Работы!A126</f>
        <v>0</v>
      </c>
      <c r="B73" s="488">
        <f>Работы!B126</f>
        <v>0</v>
      </c>
      <c r="C73" s="488">
        <f>Работы!C126</f>
        <v>0</v>
      </c>
      <c r="D73" s="717">
        <f>Работы!D126</f>
        <v>0</v>
      </c>
    </row>
    <row r="74" spans="1:4" s="9" customFormat="1" ht="18.75" x14ac:dyDescent="0.25">
      <c r="A74" s="487">
        <f>Работы!A127</f>
        <v>0</v>
      </c>
      <c r="B74" s="488">
        <f>Работы!B127</f>
        <v>0</v>
      </c>
      <c r="C74" s="488">
        <f>Работы!C127</f>
        <v>0</v>
      </c>
      <c r="D74" s="717">
        <f>Работы!D127</f>
        <v>0</v>
      </c>
    </row>
    <row r="75" spans="1:4" s="9" customFormat="1" ht="18.75" x14ac:dyDescent="0.25">
      <c r="A75" s="487">
        <f>Работы!A128</f>
        <v>0</v>
      </c>
      <c r="B75" s="488">
        <f>Работы!B128</f>
        <v>0</v>
      </c>
      <c r="C75" s="488">
        <f>Работы!C128</f>
        <v>0</v>
      </c>
      <c r="D75" s="717">
        <f>Работы!D128</f>
        <v>0</v>
      </c>
    </row>
    <row r="76" spans="1:4" s="9" customFormat="1" ht="18.75" x14ac:dyDescent="0.25">
      <c r="A76" s="487">
        <f>Работы!A129</f>
        <v>0</v>
      </c>
      <c r="B76" s="488">
        <f>Работы!B129</f>
        <v>0</v>
      </c>
      <c r="C76" s="488">
        <f>Работы!C129</f>
        <v>0</v>
      </c>
      <c r="D76" s="717">
        <f>Работы!D129</f>
        <v>0</v>
      </c>
    </row>
    <row r="77" spans="1:4" s="9" customFormat="1" ht="18.75" x14ac:dyDescent="0.25">
      <c r="A77" s="487">
        <f>Работы!A130</f>
        <v>0</v>
      </c>
      <c r="B77" s="488">
        <f>Работы!B130</f>
        <v>0</v>
      </c>
      <c r="C77" s="488">
        <f>Работы!C130</f>
        <v>0</v>
      </c>
      <c r="D77" s="717">
        <f>Работы!D130</f>
        <v>0</v>
      </c>
    </row>
    <row r="78" spans="1:4" s="9" customFormat="1" ht="18.75" x14ac:dyDescent="0.25">
      <c r="A78" s="487">
        <f>Работы!A131</f>
        <v>0</v>
      </c>
      <c r="B78" s="488">
        <f>Работы!B131</f>
        <v>0</v>
      </c>
      <c r="C78" s="488">
        <f>Работы!C131</f>
        <v>0</v>
      </c>
      <c r="D78" s="717">
        <f>Работы!D131</f>
        <v>0</v>
      </c>
    </row>
    <row r="79" spans="1:4" s="9" customFormat="1" ht="18.75" x14ac:dyDescent="0.25">
      <c r="A79" s="487">
        <f>Работы!A132</f>
        <v>0</v>
      </c>
      <c r="B79" s="488">
        <f>Работы!B132</f>
        <v>0</v>
      </c>
      <c r="C79" s="488">
        <f>Работы!C132</f>
        <v>0</v>
      </c>
      <c r="D79" s="717">
        <f>Работы!D132</f>
        <v>0</v>
      </c>
    </row>
    <row r="80" spans="1:4" s="9" customFormat="1" ht="18.75" x14ac:dyDescent="0.25">
      <c r="A80" s="487">
        <f>Работы!A133</f>
        <v>0</v>
      </c>
      <c r="B80" s="488">
        <f>Работы!B133</f>
        <v>0</v>
      </c>
      <c r="C80" s="488">
        <f>Работы!C133</f>
        <v>0</v>
      </c>
      <c r="D80" s="717">
        <f>Работы!D133</f>
        <v>0</v>
      </c>
    </row>
    <row r="81" spans="1:4" s="9" customFormat="1" ht="18.75" x14ac:dyDescent="0.25">
      <c r="A81" s="487">
        <f>Работы!A134</f>
        <v>0</v>
      </c>
      <c r="B81" s="488">
        <f>Работы!B134</f>
        <v>0</v>
      </c>
      <c r="C81" s="488">
        <f>Работы!C134</f>
        <v>0</v>
      </c>
      <c r="D81" s="717">
        <f>Работы!D134</f>
        <v>0</v>
      </c>
    </row>
    <row r="82" spans="1:4" s="9" customFormat="1" ht="18.75" x14ac:dyDescent="0.25">
      <c r="A82" s="487">
        <f>Работы!A135</f>
        <v>0</v>
      </c>
      <c r="B82" s="488">
        <f>Работы!B135</f>
        <v>0</v>
      </c>
      <c r="C82" s="488">
        <f>Работы!C135</f>
        <v>0</v>
      </c>
      <c r="D82" s="717">
        <f>Работы!D135</f>
        <v>0</v>
      </c>
    </row>
    <row r="83" spans="1:4" s="9" customFormat="1" ht="18.75" x14ac:dyDescent="0.25">
      <c r="A83" s="487">
        <f>Работы!A136</f>
        <v>0</v>
      </c>
      <c r="B83" s="488">
        <f>Работы!B136</f>
        <v>0</v>
      </c>
      <c r="C83" s="488">
        <f>Работы!C136</f>
        <v>0</v>
      </c>
      <c r="D83" s="717">
        <f>Работы!D136</f>
        <v>0</v>
      </c>
    </row>
    <row r="84" spans="1:4" s="9" customFormat="1" ht="18.75" x14ac:dyDescent="0.25">
      <c r="A84" s="487">
        <f>Работы!A137</f>
        <v>0</v>
      </c>
      <c r="B84" s="488">
        <f>Работы!B137</f>
        <v>0</v>
      </c>
      <c r="C84" s="488">
        <f>Работы!C137</f>
        <v>0</v>
      </c>
      <c r="D84" s="717">
        <f>Работы!D137</f>
        <v>0</v>
      </c>
    </row>
    <row r="85" spans="1:4" s="9" customFormat="1" ht="18.75" x14ac:dyDescent="0.25">
      <c r="A85" s="487">
        <f>Работы!A138</f>
        <v>0</v>
      </c>
      <c r="B85" s="488">
        <f>Работы!B138</f>
        <v>0</v>
      </c>
      <c r="C85" s="488">
        <f>Работы!C138</f>
        <v>0</v>
      </c>
      <c r="D85" s="717">
        <f>Работы!D138</f>
        <v>0</v>
      </c>
    </row>
    <row r="86" spans="1:4" s="9" customFormat="1" ht="18.75" x14ac:dyDescent="0.25">
      <c r="A86" s="487">
        <f>Работы!A139</f>
        <v>0</v>
      </c>
      <c r="B86" s="488">
        <f>Работы!B139</f>
        <v>0</v>
      </c>
      <c r="C86" s="488">
        <f>Работы!C139</f>
        <v>0</v>
      </c>
      <c r="D86" s="717">
        <f>Работы!D139</f>
        <v>0</v>
      </c>
    </row>
    <row r="87" spans="1:4" s="9" customFormat="1" ht="18.75" x14ac:dyDescent="0.25">
      <c r="A87" s="487">
        <f>Работы!A140</f>
        <v>0</v>
      </c>
      <c r="B87" s="488">
        <f>Работы!B140</f>
        <v>0</v>
      </c>
      <c r="C87" s="488">
        <f>Работы!C140</f>
        <v>0</v>
      </c>
      <c r="D87" s="717">
        <f>Работы!D140</f>
        <v>0</v>
      </c>
    </row>
    <row r="88" spans="1:4" s="9" customFormat="1" ht="18.75" x14ac:dyDescent="0.25">
      <c r="A88" s="487">
        <f>Работы!A141</f>
        <v>0</v>
      </c>
      <c r="B88" s="488">
        <f>Работы!B141</f>
        <v>0</v>
      </c>
      <c r="C88" s="488">
        <f>Работы!C141</f>
        <v>0</v>
      </c>
      <c r="D88" s="717">
        <f>Работы!D141</f>
        <v>0</v>
      </c>
    </row>
    <row r="89" spans="1:4" s="9" customFormat="1" ht="18.75" x14ac:dyDescent="0.25">
      <c r="A89" s="487">
        <f>Работы!A142</f>
        <v>0</v>
      </c>
      <c r="B89" s="488">
        <f>Работы!B142</f>
        <v>0</v>
      </c>
      <c r="C89" s="488">
        <f>Работы!C142</f>
        <v>0</v>
      </c>
      <c r="D89" s="717">
        <f>Работы!D142</f>
        <v>0</v>
      </c>
    </row>
    <row r="90" spans="1:4" s="9" customFormat="1" ht="18.75" x14ac:dyDescent="0.25">
      <c r="A90" s="487">
        <f>Работы!A143</f>
        <v>0</v>
      </c>
      <c r="B90" s="488">
        <f>Работы!B143</f>
        <v>0</v>
      </c>
      <c r="C90" s="488">
        <f>Работы!C143</f>
        <v>0</v>
      </c>
      <c r="D90" s="717">
        <f>Работы!D143</f>
        <v>0</v>
      </c>
    </row>
    <row r="91" spans="1:4" s="9" customFormat="1" ht="18.75" x14ac:dyDescent="0.25">
      <c r="A91" s="487">
        <f>Работы!A144</f>
        <v>0</v>
      </c>
      <c r="B91" s="488">
        <f>Работы!B144</f>
        <v>0</v>
      </c>
      <c r="C91" s="488">
        <f>Работы!C144</f>
        <v>0</v>
      </c>
      <c r="D91" s="717">
        <f>Работы!D144</f>
        <v>0</v>
      </c>
    </row>
    <row r="92" spans="1:4" s="9" customFormat="1" ht="18.75" x14ac:dyDescent="0.25">
      <c r="A92" s="487">
        <f>Работы!A145</f>
        <v>0</v>
      </c>
      <c r="B92" s="488">
        <f>Работы!B145</f>
        <v>0</v>
      </c>
      <c r="C92" s="488">
        <f>Работы!C145</f>
        <v>0</v>
      </c>
      <c r="D92" s="717">
        <f>Работы!D145</f>
        <v>0</v>
      </c>
    </row>
    <row r="93" spans="1:4" s="9" customFormat="1" ht="18.75" x14ac:dyDescent="0.25">
      <c r="A93" s="487">
        <f>Работы!A146</f>
        <v>0</v>
      </c>
      <c r="B93" s="488">
        <f>Работы!B146</f>
        <v>0</v>
      </c>
      <c r="C93" s="488">
        <f>Работы!C146</f>
        <v>0</v>
      </c>
      <c r="D93" s="717">
        <f>Работы!D146</f>
        <v>0</v>
      </c>
    </row>
    <row r="94" spans="1:4" s="9" customFormat="1" ht="18.75" x14ac:dyDescent="0.25">
      <c r="A94" s="487">
        <f>Работы!A147</f>
        <v>0</v>
      </c>
      <c r="B94" s="488">
        <f>Работы!B147</f>
        <v>0</v>
      </c>
      <c r="C94" s="488">
        <f>Работы!C147</f>
        <v>0</v>
      </c>
      <c r="D94" s="717">
        <f>Работы!D147</f>
        <v>0</v>
      </c>
    </row>
    <row r="95" spans="1:4" s="9" customFormat="1" ht="18.75" x14ac:dyDescent="0.25">
      <c r="A95" s="487">
        <f>Работы!A148</f>
        <v>0</v>
      </c>
      <c r="B95" s="488">
        <f>Работы!B148</f>
        <v>0</v>
      </c>
      <c r="C95" s="488">
        <f>Работы!C148</f>
        <v>0</v>
      </c>
      <c r="D95" s="717">
        <f>Работы!D148</f>
        <v>0</v>
      </c>
    </row>
    <row r="96" spans="1:4" s="9" customFormat="1" ht="18.75" x14ac:dyDescent="0.25">
      <c r="A96" s="487">
        <f>Работы!A149</f>
        <v>0</v>
      </c>
      <c r="B96" s="488">
        <f>Работы!B149</f>
        <v>0</v>
      </c>
      <c r="C96" s="488">
        <f>Работы!C149</f>
        <v>0</v>
      </c>
      <c r="D96" s="717">
        <f>Работы!D149</f>
        <v>0</v>
      </c>
    </row>
    <row r="97" spans="1:4" s="9" customFormat="1" ht="18.75" x14ac:dyDescent="0.25">
      <c r="A97" s="487">
        <f>Работы!A150</f>
        <v>0</v>
      </c>
      <c r="B97" s="488">
        <f>Работы!B150</f>
        <v>0</v>
      </c>
      <c r="C97" s="488">
        <f>Работы!C150</f>
        <v>0</v>
      </c>
      <c r="D97" s="717">
        <f>Работы!D150</f>
        <v>0</v>
      </c>
    </row>
    <row r="98" spans="1:4" s="9" customFormat="1" ht="18.75" x14ac:dyDescent="0.25">
      <c r="A98" s="487">
        <f>Работы!A151</f>
        <v>0</v>
      </c>
      <c r="B98" s="488">
        <f>Работы!B151</f>
        <v>0</v>
      </c>
      <c r="C98" s="488">
        <f>Работы!C151</f>
        <v>0</v>
      </c>
      <c r="D98" s="717">
        <f>Работы!D151</f>
        <v>0</v>
      </c>
    </row>
    <row r="99" spans="1:4" s="9" customFormat="1" ht="18.75" x14ac:dyDescent="0.25">
      <c r="A99" s="487">
        <f>Работы!A152</f>
        <v>0</v>
      </c>
      <c r="B99" s="488">
        <f>Работы!B152</f>
        <v>0</v>
      </c>
      <c r="C99" s="488">
        <f>Работы!C152</f>
        <v>0</v>
      </c>
      <c r="D99" s="717">
        <f>Работы!D152</f>
        <v>0</v>
      </c>
    </row>
    <row r="100" spans="1:4" s="9" customFormat="1" ht="18.75" x14ac:dyDescent="0.25">
      <c r="A100" s="487">
        <f>Работы!A153</f>
        <v>0</v>
      </c>
      <c r="B100" s="488">
        <f>Работы!B153</f>
        <v>0</v>
      </c>
      <c r="C100" s="488">
        <f>Работы!C153</f>
        <v>0</v>
      </c>
      <c r="D100" s="717">
        <f>Работы!D153</f>
        <v>0</v>
      </c>
    </row>
    <row r="101" spans="1:4" s="9" customFormat="1" ht="18.75" x14ac:dyDescent="0.25">
      <c r="A101" s="487">
        <f>Работы!A154</f>
        <v>0</v>
      </c>
      <c r="B101" s="488">
        <f>Работы!B154</f>
        <v>0</v>
      </c>
      <c r="C101" s="488">
        <f>Работы!C154</f>
        <v>0</v>
      </c>
      <c r="D101" s="717">
        <f>Работы!D154</f>
        <v>0</v>
      </c>
    </row>
    <row r="102" spans="1:4" s="9" customFormat="1" ht="18.75" x14ac:dyDescent="0.25">
      <c r="A102" s="487">
        <f>Работы!A155</f>
        <v>0</v>
      </c>
      <c r="B102" s="488">
        <f>Работы!B155</f>
        <v>0</v>
      </c>
      <c r="C102" s="488">
        <f>Работы!C155</f>
        <v>0</v>
      </c>
      <c r="D102" s="717">
        <f>Работы!D155</f>
        <v>0</v>
      </c>
    </row>
    <row r="103" spans="1:4" s="9" customFormat="1" ht="18.75" x14ac:dyDescent="0.25">
      <c r="A103" s="487">
        <f>Работы!A156</f>
        <v>0</v>
      </c>
      <c r="B103" s="488">
        <f>Работы!B156</f>
        <v>0</v>
      </c>
      <c r="C103" s="488">
        <f>Работы!C156</f>
        <v>0</v>
      </c>
      <c r="D103" s="717">
        <f>Работы!D156</f>
        <v>0</v>
      </c>
    </row>
    <row r="104" spans="1:4" s="9" customFormat="1" ht="18.75" x14ac:dyDescent="0.25">
      <c r="A104" s="487">
        <f>Работы!A157</f>
        <v>0</v>
      </c>
      <c r="B104" s="488">
        <f>Работы!B157</f>
        <v>0</v>
      </c>
      <c r="C104" s="488">
        <f>Работы!C157</f>
        <v>0</v>
      </c>
      <c r="D104" s="717">
        <f>Работы!D157</f>
        <v>0</v>
      </c>
    </row>
    <row r="105" spans="1:4" s="9" customFormat="1" ht="18.75" x14ac:dyDescent="0.25">
      <c r="A105" s="487">
        <f>Работы!A158</f>
        <v>0</v>
      </c>
      <c r="B105" s="488">
        <f>Работы!B158</f>
        <v>0</v>
      </c>
      <c r="C105" s="488">
        <f>Работы!C158</f>
        <v>0</v>
      </c>
      <c r="D105" s="717">
        <f>Работы!D158</f>
        <v>0</v>
      </c>
    </row>
    <row r="106" spans="1:4" s="9" customFormat="1" ht="18.75" x14ac:dyDescent="0.25">
      <c r="A106" s="487">
        <f>Работы!A159</f>
        <v>0</v>
      </c>
      <c r="B106" s="488">
        <f>Работы!B159</f>
        <v>0</v>
      </c>
      <c r="C106" s="488">
        <f>Работы!C159</f>
        <v>0</v>
      </c>
      <c r="D106" s="717">
        <f>Работы!D159</f>
        <v>0</v>
      </c>
    </row>
    <row r="107" spans="1:4" s="9" customFormat="1" ht="18.75" x14ac:dyDescent="0.25">
      <c r="A107" s="487">
        <f>Работы!A160</f>
        <v>0</v>
      </c>
      <c r="B107" s="488">
        <f>Работы!B160</f>
        <v>0</v>
      </c>
      <c r="C107" s="488">
        <f>Работы!C160</f>
        <v>0</v>
      </c>
      <c r="D107" s="717">
        <f>Работы!D160</f>
        <v>0</v>
      </c>
    </row>
    <row r="108" spans="1:4" s="9" customFormat="1" ht="18.75" x14ac:dyDescent="0.25">
      <c r="A108" s="487">
        <f>Работы!A161</f>
        <v>0</v>
      </c>
      <c r="B108" s="488">
        <f>Работы!B161</f>
        <v>0</v>
      </c>
      <c r="C108" s="488">
        <f>Работы!C161</f>
        <v>0</v>
      </c>
      <c r="D108" s="717">
        <f>Работы!D161</f>
        <v>0</v>
      </c>
    </row>
    <row r="109" spans="1:4" s="9" customFormat="1" ht="18.75" x14ac:dyDescent="0.25">
      <c r="A109" s="487">
        <f>Работы!A162</f>
        <v>0</v>
      </c>
      <c r="B109" s="488">
        <f>Работы!B162</f>
        <v>0</v>
      </c>
      <c r="C109" s="488">
        <f>Работы!C162</f>
        <v>0</v>
      </c>
      <c r="D109" s="717">
        <f>Работы!D162</f>
        <v>0</v>
      </c>
    </row>
    <row r="110" spans="1:4" s="9" customFormat="1" ht="18.75" x14ac:dyDescent="0.25">
      <c r="A110" s="487">
        <f>Работы!A163</f>
        <v>0</v>
      </c>
      <c r="B110" s="488">
        <f>Работы!B163</f>
        <v>0</v>
      </c>
      <c r="C110" s="488">
        <f>Работы!C163</f>
        <v>0</v>
      </c>
      <c r="D110" s="717">
        <f>Работы!D163</f>
        <v>0</v>
      </c>
    </row>
    <row r="111" spans="1:4" s="9" customFormat="1" ht="18.75" x14ac:dyDescent="0.25">
      <c r="A111" s="487">
        <f>Работы!A164</f>
        <v>0</v>
      </c>
      <c r="B111" s="488">
        <f>Работы!B164</f>
        <v>0</v>
      </c>
      <c r="C111" s="488">
        <f>Работы!C164</f>
        <v>0</v>
      </c>
      <c r="D111" s="717">
        <f>Работы!D164</f>
        <v>0</v>
      </c>
    </row>
    <row r="112" spans="1:4" s="9" customFormat="1" ht="18.75" x14ac:dyDescent="0.25">
      <c r="A112" s="487">
        <f>Работы!A165</f>
        <v>0</v>
      </c>
      <c r="B112" s="488">
        <f>Работы!B165</f>
        <v>0</v>
      </c>
      <c r="C112" s="488">
        <f>Работы!C165</f>
        <v>0</v>
      </c>
      <c r="D112" s="717">
        <f>Работы!D165</f>
        <v>0</v>
      </c>
    </row>
    <row r="113" spans="1:4" s="9" customFormat="1" ht="18.75" x14ac:dyDescent="0.25">
      <c r="A113" s="487">
        <f>Работы!A166</f>
        <v>0</v>
      </c>
      <c r="B113" s="488">
        <f>Работы!B166</f>
        <v>0</v>
      </c>
      <c r="C113" s="488">
        <f>Работы!C166</f>
        <v>0</v>
      </c>
      <c r="D113" s="717">
        <f>Работы!D166</f>
        <v>0</v>
      </c>
    </row>
    <row r="114" spans="1:4" s="9" customFormat="1" ht="18.75" x14ac:dyDescent="0.25">
      <c r="A114" s="487">
        <f>Работы!A167</f>
        <v>0</v>
      </c>
      <c r="B114" s="488">
        <f>Работы!B167</f>
        <v>0</v>
      </c>
      <c r="C114" s="488">
        <f>Работы!C167</f>
        <v>0</v>
      </c>
      <c r="D114" s="717">
        <f>Работы!D167</f>
        <v>0</v>
      </c>
    </row>
    <row r="115" spans="1:4" s="9" customFormat="1" ht="18.75" x14ac:dyDescent="0.25">
      <c r="A115" s="487">
        <f>Работы!A168</f>
        <v>0</v>
      </c>
      <c r="B115" s="488">
        <f>Работы!B168</f>
        <v>0</v>
      </c>
      <c r="C115" s="488">
        <f>Работы!C168</f>
        <v>0</v>
      </c>
      <c r="D115" s="717">
        <f>Работы!D168</f>
        <v>0</v>
      </c>
    </row>
    <row r="116" spans="1:4" s="9" customFormat="1" ht="18.75" x14ac:dyDescent="0.25">
      <c r="A116" s="487">
        <f>Работы!A169</f>
        <v>0</v>
      </c>
      <c r="B116" s="488">
        <f>Работы!B169</f>
        <v>0</v>
      </c>
      <c r="C116" s="488">
        <f>Работы!C169</f>
        <v>0</v>
      </c>
      <c r="D116" s="717">
        <f>Работы!D169</f>
        <v>0</v>
      </c>
    </row>
    <row r="117" spans="1:4" s="9" customFormat="1" ht="18.75" x14ac:dyDescent="0.25">
      <c r="A117" s="487">
        <f>Работы!A170</f>
        <v>0</v>
      </c>
      <c r="B117" s="488">
        <f>Работы!B170</f>
        <v>0</v>
      </c>
      <c r="C117" s="488">
        <f>Работы!C170</f>
        <v>0</v>
      </c>
      <c r="D117" s="717">
        <f>Работы!D170</f>
        <v>0</v>
      </c>
    </row>
    <row r="118" spans="1:4" s="9" customFormat="1" ht="18.75" x14ac:dyDescent="0.25">
      <c r="A118" s="487">
        <f>Работы!A171</f>
        <v>0</v>
      </c>
      <c r="B118" s="488">
        <f>Работы!B171</f>
        <v>0</v>
      </c>
      <c r="C118" s="488">
        <f>Работы!C171</f>
        <v>0</v>
      </c>
      <c r="D118" s="717">
        <f>Работы!D171</f>
        <v>0</v>
      </c>
    </row>
    <row r="119" spans="1:4" s="9" customFormat="1" ht="18.75" x14ac:dyDescent="0.25">
      <c r="A119" s="487">
        <f>Работы!A172</f>
        <v>0</v>
      </c>
      <c r="B119" s="488">
        <f>Работы!B172</f>
        <v>0</v>
      </c>
      <c r="C119" s="488">
        <f>Работы!C172</f>
        <v>0</v>
      </c>
      <c r="D119" s="717">
        <f>Работы!D172</f>
        <v>0</v>
      </c>
    </row>
    <row r="120" spans="1:4" s="9" customFormat="1" ht="18.75" x14ac:dyDescent="0.25">
      <c r="A120" s="487">
        <f>Работы!A173</f>
        <v>0</v>
      </c>
      <c r="B120" s="488">
        <f>Работы!B173</f>
        <v>0</v>
      </c>
      <c r="C120" s="488">
        <f>Работы!C173</f>
        <v>0</v>
      </c>
      <c r="D120" s="717">
        <f>Работы!D173</f>
        <v>0</v>
      </c>
    </row>
    <row r="121" spans="1:4" s="9" customFormat="1" ht="18.75" x14ac:dyDescent="0.25">
      <c r="A121" s="487">
        <f>Работы!A174</f>
        <v>0</v>
      </c>
      <c r="B121" s="488">
        <f>Работы!B174</f>
        <v>0</v>
      </c>
      <c r="C121" s="488">
        <f>Работы!C174</f>
        <v>0</v>
      </c>
      <c r="D121" s="717">
        <f>Работы!D174</f>
        <v>0</v>
      </c>
    </row>
    <row r="122" spans="1:4" s="9" customFormat="1" ht="18.75" x14ac:dyDescent="0.25">
      <c r="A122" s="487">
        <f>Работы!A175</f>
        <v>0</v>
      </c>
      <c r="B122" s="488">
        <f>Работы!B175</f>
        <v>0</v>
      </c>
      <c r="C122" s="488">
        <f>Работы!C175</f>
        <v>0</v>
      </c>
      <c r="D122" s="717">
        <f>Работы!D175</f>
        <v>0</v>
      </c>
    </row>
    <row r="123" spans="1:4" s="9" customFormat="1" ht="18.75" x14ac:dyDescent="0.25">
      <c r="A123" s="487">
        <f>Работы!A176</f>
        <v>0</v>
      </c>
      <c r="B123" s="488">
        <f>Работы!B176</f>
        <v>0</v>
      </c>
      <c r="C123" s="488">
        <f>Работы!C176</f>
        <v>0</v>
      </c>
      <c r="D123" s="717">
        <f>Работы!D176</f>
        <v>0</v>
      </c>
    </row>
    <row r="124" spans="1:4" s="9" customFormat="1" ht="18.75" x14ac:dyDescent="0.25">
      <c r="A124" s="487">
        <f>Работы!A177</f>
        <v>0</v>
      </c>
      <c r="B124" s="488">
        <f>Работы!B177</f>
        <v>0</v>
      </c>
      <c r="C124" s="488">
        <f>Работы!C177</f>
        <v>0</v>
      </c>
      <c r="D124" s="717">
        <f>Работы!D177</f>
        <v>0</v>
      </c>
    </row>
    <row r="125" spans="1:4" s="9" customFormat="1" ht="18.75" x14ac:dyDescent="0.25">
      <c r="A125" s="487">
        <f>Работы!A178</f>
        <v>0</v>
      </c>
      <c r="B125" s="488">
        <f>Работы!B178</f>
        <v>0</v>
      </c>
      <c r="C125" s="488">
        <f>Работы!C178</f>
        <v>0</v>
      </c>
      <c r="D125" s="717">
        <f>Работы!D178</f>
        <v>0</v>
      </c>
    </row>
    <row r="126" spans="1:4" s="9" customFormat="1" ht="18.75" x14ac:dyDescent="0.25">
      <c r="A126" s="487">
        <f>Работы!A179</f>
        <v>0</v>
      </c>
      <c r="B126" s="488">
        <f>Работы!B179</f>
        <v>0</v>
      </c>
      <c r="C126" s="488">
        <f>Работы!C179</f>
        <v>0</v>
      </c>
      <c r="D126" s="717">
        <f>Работы!D179</f>
        <v>0</v>
      </c>
    </row>
    <row r="127" spans="1:4" s="9" customFormat="1" ht="18.75" x14ac:dyDescent="0.25">
      <c r="A127" s="487">
        <f>Работы!A180</f>
        <v>0</v>
      </c>
      <c r="B127" s="488">
        <f>Работы!B180</f>
        <v>0</v>
      </c>
      <c r="C127" s="488">
        <f>Работы!C180</f>
        <v>0</v>
      </c>
      <c r="D127" s="717">
        <f>Работы!D180</f>
        <v>0</v>
      </c>
    </row>
    <row r="128" spans="1:4" s="9" customFormat="1" ht="18.75" x14ac:dyDescent="0.25">
      <c r="A128" s="487">
        <f>Работы!A181</f>
        <v>0</v>
      </c>
      <c r="B128" s="488">
        <f>Работы!B181</f>
        <v>0</v>
      </c>
      <c r="C128" s="488">
        <f>Работы!C181</f>
        <v>0</v>
      </c>
      <c r="D128" s="717">
        <f>Работы!D181</f>
        <v>0</v>
      </c>
    </row>
    <row r="129" spans="1:4" s="9" customFormat="1" ht="18.75" x14ac:dyDescent="0.25">
      <c r="A129" s="487">
        <f>Работы!A182</f>
        <v>0</v>
      </c>
      <c r="B129" s="488">
        <f>Работы!B182</f>
        <v>0</v>
      </c>
      <c r="C129" s="488">
        <f>Работы!C182</f>
        <v>0</v>
      </c>
      <c r="D129" s="717">
        <f>Работы!D182</f>
        <v>0</v>
      </c>
    </row>
    <row r="130" spans="1:4" s="9" customFormat="1" ht="18.75" x14ac:dyDescent="0.25">
      <c r="A130" s="487">
        <f>Работы!A183</f>
        <v>0</v>
      </c>
      <c r="B130" s="488">
        <f>Работы!B183</f>
        <v>0</v>
      </c>
      <c r="C130" s="488">
        <f>Работы!C183</f>
        <v>0</v>
      </c>
      <c r="D130" s="717">
        <f>Работы!D183</f>
        <v>0</v>
      </c>
    </row>
    <row r="131" spans="1:4" s="9" customFormat="1" ht="18.75" x14ac:dyDescent="0.25">
      <c r="A131" s="487">
        <f>Работы!A184</f>
        <v>0</v>
      </c>
      <c r="B131" s="488">
        <f>Работы!B184</f>
        <v>0</v>
      </c>
      <c r="C131" s="488">
        <f>Работы!C184</f>
        <v>0</v>
      </c>
      <c r="D131" s="717">
        <f>Работы!D184</f>
        <v>0</v>
      </c>
    </row>
    <row r="132" spans="1:4" s="9" customFormat="1" ht="18.75" x14ac:dyDescent="0.25">
      <c r="A132" s="487">
        <f>Работы!A185</f>
        <v>0</v>
      </c>
      <c r="B132" s="488">
        <f>Работы!B185</f>
        <v>0</v>
      </c>
      <c r="C132" s="488">
        <f>Работы!C185</f>
        <v>0</v>
      </c>
      <c r="D132" s="717">
        <f>Работы!D185</f>
        <v>0</v>
      </c>
    </row>
    <row r="133" spans="1:4" s="9" customFormat="1" ht="18.75" x14ac:dyDescent="0.25">
      <c r="A133" s="487">
        <f>Работы!A186</f>
        <v>0</v>
      </c>
      <c r="B133" s="488">
        <f>Работы!B186</f>
        <v>0</v>
      </c>
      <c r="C133" s="488">
        <f>Работы!C186</f>
        <v>0</v>
      </c>
      <c r="D133" s="717">
        <f>Работы!D186</f>
        <v>0</v>
      </c>
    </row>
    <row r="134" spans="1:4" s="9" customFormat="1" ht="18.75" x14ac:dyDescent="0.25">
      <c r="A134" s="487">
        <f>Работы!A187</f>
        <v>0</v>
      </c>
      <c r="B134" s="488">
        <f>Работы!B187</f>
        <v>0</v>
      </c>
      <c r="C134" s="488">
        <f>Работы!C187</f>
        <v>0</v>
      </c>
      <c r="D134" s="717">
        <f>Работы!D187</f>
        <v>0</v>
      </c>
    </row>
    <row r="135" spans="1:4" s="9" customFormat="1" ht="18.75" x14ac:dyDescent="0.25">
      <c r="A135" s="487">
        <f>Работы!A188</f>
        <v>0</v>
      </c>
      <c r="B135" s="488">
        <f>Работы!B188</f>
        <v>0</v>
      </c>
      <c r="C135" s="488">
        <f>Работы!C188</f>
        <v>0</v>
      </c>
      <c r="D135" s="717">
        <f>Работы!D188</f>
        <v>0</v>
      </c>
    </row>
    <row r="136" spans="1:4" s="9" customFormat="1" ht="18.75" x14ac:dyDescent="0.25">
      <c r="A136" s="487">
        <f>Работы!A189</f>
        <v>0</v>
      </c>
      <c r="B136" s="488">
        <f>Работы!B189</f>
        <v>0</v>
      </c>
      <c r="C136" s="488">
        <f>Работы!C189</f>
        <v>0</v>
      </c>
      <c r="D136" s="717">
        <f>Работы!D189</f>
        <v>0</v>
      </c>
    </row>
    <row r="137" spans="1:4" s="9" customFormat="1" ht="18.75" x14ac:dyDescent="0.25">
      <c r="A137" s="487">
        <f>Работы!A190</f>
        <v>0</v>
      </c>
      <c r="B137" s="488">
        <f>Работы!B190</f>
        <v>0</v>
      </c>
      <c r="C137" s="488">
        <f>Работы!C190</f>
        <v>0</v>
      </c>
      <c r="D137" s="717">
        <f>Работы!D190</f>
        <v>0</v>
      </c>
    </row>
    <row r="138" spans="1:4" s="9" customFormat="1" ht="18.75" x14ac:dyDescent="0.25">
      <c r="A138" s="487">
        <f>Работы!A191</f>
        <v>0</v>
      </c>
      <c r="B138" s="488">
        <f>Работы!B191</f>
        <v>0</v>
      </c>
      <c r="C138" s="488">
        <f>Работы!C191</f>
        <v>0</v>
      </c>
      <c r="D138" s="717">
        <f>Работы!D191</f>
        <v>0</v>
      </c>
    </row>
    <row r="139" spans="1:4" s="9" customFormat="1" ht="18.75" x14ac:dyDescent="0.25">
      <c r="A139" s="487">
        <f>Работы!A192</f>
        <v>0</v>
      </c>
      <c r="B139" s="488">
        <f>Работы!B192</f>
        <v>0</v>
      </c>
      <c r="C139" s="488">
        <f>Работы!C192</f>
        <v>0</v>
      </c>
      <c r="D139" s="717">
        <f>Работы!D192</f>
        <v>0</v>
      </c>
    </row>
    <row r="140" spans="1:4" s="9" customFormat="1" ht="18.75" x14ac:dyDescent="0.25">
      <c r="A140" s="487">
        <f>Работы!A193</f>
        <v>0</v>
      </c>
      <c r="B140" s="488">
        <f>Работы!B193</f>
        <v>0</v>
      </c>
      <c r="C140" s="488">
        <f>Работы!C193</f>
        <v>0</v>
      </c>
      <c r="D140" s="717">
        <f>Работы!D193</f>
        <v>0</v>
      </c>
    </row>
    <row r="141" spans="1:4" s="9" customFormat="1" ht="18.75" x14ac:dyDescent="0.25">
      <c r="A141" s="487">
        <f>Работы!A194</f>
        <v>0</v>
      </c>
      <c r="B141" s="488">
        <f>Работы!B194</f>
        <v>0</v>
      </c>
      <c r="C141" s="488">
        <f>Работы!C194</f>
        <v>0</v>
      </c>
      <c r="D141" s="717">
        <f>Работы!D194</f>
        <v>0</v>
      </c>
    </row>
    <row r="142" spans="1:4" s="9" customFormat="1" ht="18.75" x14ac:dyDescent="0.25">
      <c r="A142" s="487">
        <f>Работы!A195</f>
        <v>0</v>
      </c>
      <c r="B142" s="488">
        <f>Работы!B195</f>
        <v>0</v>
      </c>
      <c r="C142" s="488">
        <f>Работы!C195</f>
        <v>0</v>
      </c>
      <c r="D142" s="717">
        <f>Работы!D195</f>
        <v>0</v>
      </c>
    </row>
    <row r="143" spans="1:4" s="9" customFormat="1" ht="18.75" x14ac:dyDescent="0.25">
      <c r="A143" s="487">
        <f>Работы!A196</f>
        <v>0</v>
      </c>
      <c r="B143" s="488">
        <f>Работы!B196</f>
        <v>0</v>
      </c>
      <c r="C143" s="488">
        <f>Работы!C196</f>
        <v>0</v>
      </c>
      <c r="D143" s="717">
        <f>Работы!D196</f>
        <v>0</v>
      </c>
    </row>
    <row r="144" spans="1:4" s="9" customFormat="1" ht="18.75" x14ac:dyDescent="0.25">
      <c r="A144" s="487">
        <f>Работы!A197</f>
        <v>0</v>
      </c>
      <c r="B144" s="488">
        <f>Работы!B197</f>
        <v>0</v>
      </c>
      <c r="C144" s="488">
        <f>Работы!C197</f>
        <v>0</v>
      </c>
      <c r="D144" s="717">
        <f>Работы!D197</f>
        <v>0</v>
      </c>
    </row>
    <row r="145" spans="1:4" s="9" customFormat="1" ht="18.75" x14ac:dyDescent="0.25">
      <c r="A145" s="487">
        <f>Работы!A198</f>
        <v>0</v>
      </c>
      <c r="B145" s="488">
        <f>Работы!B198</f>
        <v>0</v>
      </c>
      <c r="C145" s="488">
        <f>Работы!C198</f>
        <v>0</v>
      </c>
      <c r="D145" s="717">
        <f>Работы!D198</f>
        <v>0</v>
      </c>
    </row>
    <row r="146" spans="1:4" s="9" customFormat="1" ht="18.75" x14ac:dyDescent="0.25">
      <c r="A146" s="487">
        <f>Работы!A199</f>
        <v>0</v>
      </c>
      <c r="B146" s="488">
        <f>Работы!B199</f>
        <v>0</v>
      </c>
      <c r="C146" s="488">
        <f>Работы!C199</f>
        <v>0</v>
      </c>
      <c r="D146" s="717">
        <f>Работы!D199</f>
        <v>0</v>
      </c>
    </row>
    <row r="147" spans="1:4" s="9" customFormat="1" ht="18.75" x14ac:dyDescent="0.25">
      <c r="A147" s="487">
        <f>Работы!A200</f>
        <v>0</v>
      </c>
      <c r="B147" s="488">
        <f>Работы!B200</f>
        <v>0</v>
      </c>
      <c r="C147" s="488">
        <f>Работы!C200</f>
        <v>0</v>
      </c>
      <c r="D147" s="717">
        <f>Работы!D200</f>
        <v>0</v>
      </c>
    </row>
    <row r="148" spans="1:4" s="9" customFormat="1" ht="18.75" x14ac:dyDescent="0.25">
      <c r="A148" s="487">
        <f>Работы!A201</f>
        <v>0</v>
      </c>
      <c r="B148" s="488">
        <f>Работы!B201</f>
        <v>0</v>
      </c>
      <c r="C148" s="488">
        <f>Работы!C201</f>
        <v>0</v>
      </c>
      <c r="D148" s="717">
        <f>Работы!D201</f>
        <v>0</v>
      </c>
    </row>
    <row r="149" spans="1:4" s="9" customFormat="1" ht="18.75" x14ac:dyDescent="0.25">
      <c r="A149" s="487">
        <f>Работы!A202</f>
        <v>0</v>
      </c>
      <c r="B149" s="488">
        <f>Работы!B202</f>
        <v>0</v>
      </c>
      <c r="C149" s="488">
        <f>Работы!C202</f>
        <v>0</v>
      </c>
      <c r="D149" s="717">
        <f>Работы!D202</f>
        <v>0</v>
      </c>
    </row>
    <row r="150" spans="1:4" s="9" customFormat="1" ht="18.75" x14ac:dyDescent="0.25">
      <c r="A150" s="487">
        <f>Работы!A203</f>
        <v>0</v>
      </c>
      <c r="B150" s="488">
        <f>Работы!B203</f>
        <v>0</v>
      </c>
      <c r="C150" s="488">
        <f>Работы!C203</f>
        <v>0</v>
      </c>
      <c r="D150" s="717">
        <f>Работы!D203</f>
        <v>0</v>
      </c>
    </row>
    <row r="151" spans="1:4" s="9" customFormat="1" ht="18.75" x14ac:dyDescent="0.25">
      <c r="A151" s="487">
        <f>Работы!A204</f>
        <v>0</v>
      </c>
      <c r="B151" s="488">
        <f>Работы!B204</f>
        <v>0</v>
      </c>
      <c r="C151" s="488">
        <f>Работы!C204</f>
        <v>0</v>
      </c>
      <c r="D151" s="717">
        <f>Работы!D204</f>
        <v>0</v>
      </c>
    </row>
    <row r="152" spans="1:4" s="9" customFormat="1" ht="18.75" x14ac:dyDescent="0.25">
      <c r="A152" s="487">
        <f>Работы!A205</f>
        <v>0</v>
      </c>
      <c r="B152" s="488">
        <f>Работы!B205</f>
        <v>0</v>
      </c>
      <c r="C152" s="488">
        <f>Работы!C205</f>
        <v>0</v>
      </c>
      <c r="D152" s="717">
        <f>Работы!D205</f>
        <v>0</v>
      </c>
    </row>
    <row r="153" spans="1:4" s="9" customFormat="1" ht="18.75" x14ac:dyDescent="0.25">
      <c r="A153" s="487">
        <f>Работы!A206</f>
        <v>0</v>
      </c>
      <c r="B153" s="488">
        <f>Работы!B206</f>
        <v>0</v>
      </c>
      <c r="C153" s="488">
        <f>Работы!C206</f>
        <v>0</v>
      </c>
      <c r="D153" s="717">
        <f>Работы!D206</f>
        <v>0</v>
      </c>
    </row>
    <row r="154" spans="1:4" s="9" customFormat="1" ht="18.75" x14ac:dyDescent="0.25">
      <c r="A154" s="487">
        <f>Работы!A207</f>
        <v>0</v>
      </c>
      <c r="B154" s="488">
        <f>Работы!B207</f>
        <v>0</v>
      </c>
      <c r="C154" s="488">
        <f>Работы!C207</f>
        <v>0</v>
      </c>
      <c r="D154" s="717">
        <f>Работы!D207</f>
        <v>0</v>
      </c>
    </row>
    <row r="155" spans="1:4" s="9" customFormat="1" ht="18.75" x14ac:dyDescent="0.25">
      <c r="A155" s="487">
        <f>Работы!A208</f>
        <v>0</v>
      </c>
      <c r="B155" s="488">
        <f>Работы!B208</f>
        <v>0</v>
      </c>
      <c r="C155" s="488">
        <f>Работы!C208</f>
        <v>0</v>
      </c>
      <c r="D155" s="717">
        <f>Работы!D208</f>
        <v>0</v>
      </c>
    </row>
    <row r="156" spans="1:4" s="9" customFormat="1" ht="18.75" x14ac:dyDescent="0.25">
      <c r="A156" s="487">
        <f>Работы!A209</f>
        <v>0</v>
      </c>
      <c r="B156" s="488">
        <f>Работы!B209</f>
        <v>0</v>
      </c>
      <c r="C156" s="488">
        <f>Работы!C209</f>
        <v>0</v>
      </c>
      <c r="D156" s="717">
        <f>Работы!D209</f>
        <v>0</v>
      </c>
    </row>
    <row r="157" spans="1:4" s="9" customFormat="1" ht="18.75" x14ac:dyDescent="0.25">
      <c r="A157" s="487">
        <f>Работы!A210</f>
        <v>0</v>
      </c>
      <c r="B157" s="488">
        <f>Работы!B210</f>
        <v>0</v>
      </c>
      <c r="C157" s="488">
        <f>Работы!C210</f>
        <v>0</v>
      </c>
      <c r="D157" s="717">
        <f>Работы!D210</f>
        <v>0</v>
      </c>
    </row>
    <row r="158" spans="1:4" s="9" customFormat="1" ht="18.75" x14ac:dyDescent="0.25">
      <c r="A158" s="487">
        <f>Работы!A211</f>
        <v>0</v>
      </c>
      <c r="B158" s="488">
        <f>Работы!B211</f>
        <v>0</v>
      </c>
      <c r="C158" s="488">
        <f>Работы!C211</f>
        <v>0</v>
      </c>
      <c r="D158" s="717">
        <f>Работы!D211</f>
        <v>0</v>
      </c>
    </row>
    <row r="159" spans="1:4" s="9" customFormat="1" ht="18.75" x14ac:dyDescent="0.25">
      <c r="A159" s="487">
        <f>Работы!A212</f>
        <v>0</v>
      </c>
      <c r="B159" s="488">
        <f>Работы!B212</f>
        <v>0</v>
      </c>
      <c r="C159" s="488">
        <f>Работы!C212</f>
        <v>0</v>
      </c>
      <c r="D159" s="717">
        <f>Работы!D212</f>
        <v>0</v>
      </c>
    </row>
    <row r="160" spans="1:4" s="9" customFormat="1" ht="18.75" x14ac:dyDescent="0.25">
      <c r="A160" s="487">
        <f>Работы!A351</f>
        <v>0</v>
      </c>
      <c r="B160" s="488">
        <f>Работы!B351</f>
        <v>0</v>
      </c>
      <c r="C160" s="488">
        <f>Работы!C351</f>
        <v>0</v>
      </c>
      <c r="D160" s="717">
        <f>Работы!D351</f>
        <v>0</v>
      </c>
    </row>
    <row r="161" spans="1:4" s="9" customFormat="1" ht="18.75" x14ac:dyDescent="0.25">
      <c r="A161" s="487">
        <f>Работы!A352</f>
        <v>0</v>
      </c>
      <c r="B161" s="488">
        <f>Работы!B352</f>
        <v>0</v>
      </c>
      <c r="C161" s="488">
        <f>Работы!C352</f>
        <v>0</v>
      </c>
      <c r="D161" s="717">
        <f>Работы!D352</f>
        <v>0</v>
      </c>
    </row>
    <row r="162" spans="1:4" s="9" customFormat="1" ht="18.75" x14ac:dyDescent="0.25">
      <c r="A162" s="487">
        <f>Работы!A353</f>
        <v>0</v>
      </c>
      <c r="B162" s="488">
        <f>Работы!B353</f>
        <v>0</v>
      </c>
      <c r="C162" s="488">
        <f>Работы!C353</f>
        <v>0</v>
      </c>
      <c r="D162" s="717">
        <f>Работы!D353</f>
        <v>0</v>
      </c>
    </row>
    <row r="163" spans="1:4" s="9" customFormat="1" ht="18.75" x14ac:dyDescent="0.25">
      <c r="A163" s="487">
        <f>Работы!A354</f>
        <v>0</v>
      </c>
      <c r="B163" s="488">
        <f>Работы!B354</f>
        <v>0</v>
      </c>
      <c r="C163" s="488">
        <f>Работы!C354</f>
        <v>0</v>
      </c>
      <c r="D163" s="717">
        <f>Работы!D354</f>
        <v>0</v>
      </c>
    </row>
    <row r="164" spans="1:4" s="9" customFormat="1" ht="18.75" x14ac:dyDescent="0.25">
      <c r="A164" s="487">
        <f>Работы!A355</f>
        <v>0</v>
      </c>
      <c r="B164" s="488">
        <f>Работы!B355</f>
        <v>0</v>
      </c>
      <c r="C164" s="488">
        <f>Работы!C355</f>
        <v>0</v>
      </c>
      <c r="D164" s="717">
        <f>Работы!D355</f>
        <v>0</v>
      </c>
    </row>
    <row r="165" spans="1:4" s="9" customFormat="1" ht="18.75" x14ac:dyDescent="0.25">
      <c r="A165" s="487">
        <f>Работы!A356</f>
        <v>0</v>
      </c>
      <c r="B165" s="488">
        <f>Работы!B356</f>
        <v>0</v>
      </c>
      <c r="C165" s="488">
        <f>Работы!C356</f>
        <v>0</v>
      </c>
      <c r="D165" s="717">
        <f>Работы!D356</f>
        <v>0</v>
      </c>
    </row>
    <row r="166" spans="1:4" s="9" customFormat="1" ht="18.75" x14ac:dyDescent="0.25">
      <c r="A166" s="487">
        <f>Работы!A357</f>
        <v>0</v>
      </c>
      <c r="B166" s="488">
        <f>Работы!B357</f>
        <v>0</v>
      </c>
      <c r="C166" s="488">
        <f>Работы!C357</f>
        <v>0</v>
      </c>
      <c r="D166" s="717">
        <f>Работы!D357</f>
        <v>0</v>
      </c>
    </row>
    <row r="167" spans="1:4" s="9" customFormat="1" ht="18.75" x14ac:dyDescent="0.25">
      <c r="A167" s="487">
        <f>Работы!A358</f>
        <v>0</v>
      </c>
      <c r="B167" s="488">
        <f>Работы!B358</f>
        <v>0</v>
      </c>
      <c r="C167" s="488">
        <f>Работы!C358</f>
        <v>0</v>
      </c>
      <c r="D167" s="717">
        <f>Работы!D358</f>
        <v>0</v>
      </c>
    </row>
    <row r="168" spans="1:4" s="9" customFormat="1" ht="18.75" x14ac:dyDescent="0.25">
      <c r="A168" s="487">
        <f>Работы!A359</f>
        <v>0</v>
      </c>
      <c r="B168" s="488">
        <f>Работы!B359</f>
        <v>0</v>
      </c>
      <c r="C168" s="488">
        <f>Работы!C359</f>
        <v>0</v>
      </c>
      <c r="D168" s="717">
        <f>Работы!D359</f>
        <v>0</v>
      </c>
    </row>
    <row r="169" spans="1:4" s="9" customFormat="1" ht="18.75" x14ac:dyDescent="0.25">
      <c r="A169" s="487">
        <f>Работы!A360</f>
        <v>0</v>
      </c>
      <c r="B169" s="488">
        <f>Работы!B360</f>
        <v>0</v>
      </c>
      <c r="C169" s="488">
        <f>Работы!C360</f>
        <v>0</v>
      </c>
      <c r="D169" s="717">
        <f>Работы!D360</f>
        <v>0</v>
      </c>
    </row>
    <row r="170" spans="1:4" s="9" customFormat="1" ht="18.75" x14ac:dyDescent="0.25">
      <c r="A170" s="487">
        <f>Работы!A361</f>
        <v>0</v>
      </c>
      <c r="B170" s="488">
        <f>Работы!B361</f>
        <v>0</v>
      </c>
      <c r="C170" s="488">
        <f>Работы!C361</f>
        <v>0</v>
      </c>
      <c r="D170" s="717">
        <f>Работы!D361</f>
        <v>0</v>
      </c>
    </row>
    <row r="171" spans="1:4" s="9" customFormat="1" ht="18.75" x14ac:dyDescent="0.25">
      <c r="A171" s="487">
        <f>Работы!A362</f>
        <v>0</v>
      </c>
      <c r="B171" s="488">
        <f>Работы!B362</f>
        <v>0</v>
      </c>
      <c r="C171" s="488">
        <f>Работы!C362</f>
        <v>0</v>
      </c>
      <c r="D171" s="717">
        <f>Работы!D362</f>
        <v>0</v>
      </c>
    </row>
    <row r="172" spans="1:4" s="9" customFormat="1" ht="18.75" hidden="1" x14ac:dyDescent="0.25">
      <c r="A172" s="487">
        <f>Работы!A363</f>
        <v>0</v>
      </c>
      <c r="B172" s="488">
        <f>Работы!B363</f>
        <v>0</v>
      </c>
      <c r="C172" s="488">
        <f>Работы!C363</f>
        <v>0</v>
      </c>
      <c r="D172" s="717">
        <f>Работы!D363</f>
        <v>0</v>
      </c>
    </row>
    <row r="173" spans="1:4" s="9" customFormat="1" ht="18.75" hidden="1" x14ac:dyDescent="0.25">
      <c r="A173" s="487">
        <f>Работы!A364</f>
        <v>0</v>
      </c>
      <c r="B173" s="488">
        <f>Работы!B364</f>
        <v>0</v>
      </c>
      <c r="C173" s="488">
        <f>Работы!C364</f>
        <v>0</v>
      </c>
      <c r="D173" s="717">
        <f>Работы!D364</f>
        <v>0</v>
      </c>
    </row>
    <row r="174" spans="1:4" s="9" customFormat="1" ht="18.75" hidden="1" x14ac:dyDescent="0.25">
      <c r="A174" s="480">
        <f>Работы!A365</f>
        <v>0</v>
      </c>
      <c r="B174" s="481">
        <f>Работы!B365</f>
        <v>0</v>
      </c>
      <c r="C174" s="481">
        <f>Работы!C365</f>
        <v>0</v>
      </c>
      <c r="D174" s="718">
        <f>Работы!D365</f>
        <v>0</v>
      </c>
    </row>
    <row r="175" spans="1:4" s="9" customFormat="1" ht="18.75" hidden="1" x14ac:dyDescent="0.25">
      <c r="A175" s="480">
        <f>Работы!A366</f>
        <v>0</v>
      </c>
      <c r="B175" s="481">
        <f>Работы!B366</f>
        <v>0</v>
      </c>
      <c r="C175" s="481">
        <f>Работы!C366</f>
        <v>0</v>
      </c>
      <c r="D175" s="718">
        <f>Работы!D366</f>
        <v>0</v>
      </c>
    </row>
    <row r="176" spans="1:4" s="9" customFormat="1" ht="13.5" customHeight="1" x14ac:dyDescent="0.25">
      <c r="A176" s="482"/>
      <c r="B176" s="483"/>
      <c r="C176" s="483"/>
      <c r="D176" s="719"/>
    </row>
    <row r="177" spans="1:3" ht="18.75" x14ac:dyDescent="0.3">
      <c r="A177" s="229"/>
      <c r="B177" s="229"/>
      <c r="C177" s="229"/>
    </row>
    <row r="178" spans="1:3" s="489" customFormat="1" ht="20.25" x14ac:dyDescent="0.3">
      <c r="B178" s="490" t="s">
        <v>274</v>
      </c>
      <c r="C178" s="724" t="str">
        <f>IFERROR(INDEX('Состав ВТК'!$1:$1048576,MATCH($B$178,'Состав ВТК'!J:J,0),MATCH($C$179,'Состав ВТК'!7:7,0)),"---")</f>
        <v>---</v>
      </c>
    </row>
    <row r="179" spans="1:3" s="489" customFormat="1" ht="15.75" x14ac:dyDescent="0.25">
      <c r="A179" s="491"/>
      <c r="B179" s="491"/>
      <c r="C179" s="725" t="s">
        <v>2</v>
      </c>
    </row>
    <row r="180" spans="1:3" s="489" customFormat="1" ht="15.75" x14ac:dyDescent="0.25">
      <c r="A180" s="491"/>
      <c r="B180" s="491"/>
      <c r="C180" s="722"/>
    </row>
    <row r="181" spans="1:3" s="329" customFormat="1" ht="20.25" x14ac:dyDescent="0.3">
      <c r="B181" s="490" t="s">
        <v>191</v>
      </c>
      <c r="C181" s="724" t="str">
        <f>Титул!$B$10</f>
        <v>-</v>
      </c>
    </row>
    <row r="182" spans="1:3" s="329" customFormat="1" x14ac:dyDescent="0.25">
      <c r="A182" s="491"/>
      <c r="B182" s="491"/>
      <c r="C182" s="725" t="s">
        <v>2</v>
      </c>
    </row>
    <row r="184" spans="1:3" ht="18.75" x14ac:dyDescent="0.3">
      <c r="B184" s="516" t="s">
        <v>415</v>
      </c>
      <c r="C184" s="229"/>
    </row>
    <row r="185" spans="1:3" ht="20.25" x14ac:dyDescent="0.3">
      <c r="B185" s="517" t="s">
        <v>416</v>
      </c>
      <c r="C185" s="515"/>
    </row>
    <row r="186" spans="1:3" x14ac:dyDescent="0.25">
      <c r="B186" s="492"/>
      <c r="C186" s="492"/>
    </row>
    <row r="187" spans="1:3" x14ac:dyDescent="0.25">
      <c r="B187" s="493"/>
      <c r="C187" s="493"/>
    </row>
    <row r="188" spans="1:3" x14ac:dyDescent="0.25">
      <c r="B188" s="494"/>
      <c r="C188" s="494"/>
    </row>
  </sheetData>
  <sheetProtection password="CF98" sheet="1" formatCells="0" formatColumns="0" formatRows="0" insertColumns="0" insertRows="0" insertHyperlinks="0" deleteColumns="0" deleteRows="0" sort="0" autoFilter="0" pivotTables="0"/>
  <mergeCells count="16">
    <mergeCell ref="A11:C11"/>
    <mergeCell ref="A6:B6"/>
    <mergeCell ref="A7:B7"/>
    <mergeCell ref="A1:D1"/>
    <mergeCell ref="A9:A10"/>
    <mergeCell ref="B9:B10"/>
    <mergeCell ref="C9:C10"/>
    <mergeCell ref="D9:D10"/>
    <mergeCell ref="A3:B3"/>
    <mergeCell ref="A4:B4"/>
    <mergeCell ref="A5:B5"/>
    <mergeCell ref="C3:D3"/>
    <mergeCell ref="C4:D4"/>
    <mergeCell ref="C5:D5"/>
    <mergeCell ref="C6:D6"/>
    <mergeCell ref="C7:D7"/>
  </mergeCells>
  <printOptions horizontalCentered="1"/>
  <pageMargins left="0.25" right="0.25" top="0.75" bottom="0.75" header="0.3" footer="0.3"/>
  <pageSetup paperSize="9" scale="55" fitToHeight="0" orientation="landscape" r:id="rId1"/>
  <rowBreaks count="1" manualBreakCount="1">
    <brk id="186" max="6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K121"/>
  <sheetViews>
    <sheetView view="pageBreakPreview" topLeftCell="A9" zoomScale="70" zoomScaleNormal="70" zoomScaleSheetLayoutView="70" workbookViewId="0">
      <selection activeCell="E116" sqref="E116:F116"/>
    </sheetView>
  </sheetViews>
  <sheetFormatPr defaultRowHeight="18.75" outlineLevelRow="1" x14ac:dyDescent="0.3"/>
  <cols>
    <col min="1" max="1" width="50.42578125" style="229" bestFit="1" customWidth="1"/>
    <col min="2" max="2" width="41.140625" style="229" bestFit="1" customWidth="1"/>
    <col min="3" max="4" width="15.28515625" style="229" hidden="1" customWidth="1"/>
    <col min="5" max="5" width="28.5703125" style="229" customWidth="1"/>
    <col min="6" max="6" width="31.85546875" style="24" customWidth="1"/>
    <col min="7" max="7" width="16.7109375" style="229" bestFit="1" customWidth="1"/>
    <col min="8" max="8" width="12.140625" style="229" bestFit="1" customWidth="1"/>
    <col min="9" max="16384" width="9.140625" style="229"/>
  </cols>
  <sheetData>
    <row r="2" spans="1:11" ht="22.5" x14ac:dyDescent="0.3">
      <c r="A2" s="872" t="s">
        <v>406</v>
      </c>
      <c r="B2" s="872"/>
      <c r="C2" s="872"/>
      <c r="D2" s="872"/>
      <c r="E2" s="872"/>
      <c r="F2" s="872"/>
    </row>
    <row r="4" spans="1:11" x14ac:dyDescent="0.3">
      <c r="A4" s="411" t="str">
        <f>Титул!A5</f>
        <v>Номер_темы</v>
      </c>
      <c r="B4" s="862">
        <f>Титул!B5</f>
        <v>0</v>
      </c>
      <c r="C4" s="862"/>
      <c r="D4" s="862"/>
      <c r="E4" s="862"/>
      <c r="F4" s="862"/>
    </row>
    <row r="5" spans="1:11" ht="60.75" customHeight="1" x14ac:dyDescent="0.3">
      <c r="A5" s="411" t="str">
        <f>Титул!A6</f>
        <v>Наименование_темы</v>
      </c>
      <c r="B5" s="862" t="str">
        <f>Титул!B6</f>
        <v>-</v>
      </c>
      <c r="C5" s="862"/>
      <c r="D5" s="862"/>
      <c r="E5" s="862"/>
      <c r="F5" s="862"/>
    </row>
    <row r="6" spans="1:11" ht="18.75" customHeight="1" x14ac:dyDescent="0.3">
      <c r="A6" s="411" t="str">
        <f>Титул!A7</f>
        <v>Вид_научного_исследования</v>
      </c>
      <c r="B6" s="862" t="str">
        <f>Титул!B7</f>
        <v>-</v>
      </c>
      <c r="C6" s="862"/>
      <c r="D6" s="862"/>
      <c r="E6" s="862"/>
      <c r="F6" s="862"/>
    </row>
    <row r="7" spans="1:11" ht="56.25" customHeight="1" x14ac:dyDescent="0.3">
      <c r="A7" s="411" t="s">
        <v>413</v>
      </c>
      <c r="B7" s="862" t="str">
        <f>Титул!B8</f>
        <v>-</v>
      </c>
      <c r="C7" s="862"/>
      <c r="D7" s="862"/>
      <c r="E7" s="862"/>
      <c r="F7" s="862"/>
    </row>
    <row r="8" spans="1:11" ht="37.5" customHeight="1" x14ac:dyDescent="0.3">
      <c r="A8" s="411" t="str">
        <f>Титул!A9</f>
        <v>Наименование_подразделения_НИСП</v>
      </c>
      <c r="B8" s="862" t="str">
        <f>Титул!B9</f>
        <v>-</v>
      </c>
      <c r="C8" s="862"/>
      <c r="D8" s="862"/>
      <c r="E8" s="862"/>
      <c r="F8" s="862"/>
    </row>
    <row r="10" spans="1:11" ht="20.25" x14ac:dyDescent="0.3">
      <c r="A10" s="883" t="str">
        <f>Распределение!B8</f>
        <v>ФИО</v>
      </c>
      <c r="B10" s="883" t="str">
        <f>Распределение!L9</f>
        <v>Должность участника НИР</v>
      </c>
      <c r="C10" s="905" t="s">
        <v>564</v>
      </c>
      <c r="D10" s="906"/>
      <c r="E10" s="907" t="str">
        <f>Распределение!N9</f>
        <v>Трудозатраты,
в часах</v>
      </c>
      <c r="F10" s="907" t="str">
        <f>Распределение!M9</f>
        <v>Размер занимаемой ставки</v>
      </c>
    </row>
    <row r="11" spans="1:11" ht="20.25" x14ac:dyDescent="0.3">
      <c r="A11" s="883"/>
      <c r="B11" s="883"/>
      <c r="C11" s="673" t="s">
        <v>458</v>
      </c>
      <c r="D11" s="673" t="s">
        <v>459</v>
      </c>
      <c r="E11" s="908"/>
      <c r="F11" s="908"/>
    </row>
    <row r="12" spans="1:11" s="498" customFormat="1" x14ac:dyDescent="0.3">
      <c r="A12" s="909" t="s">
        <v>386</v>
      </c>
      <c r="B12" s="910"/>
      <c r="C12" s="910"/>
      <c r="D12" s="911"/>
      <c r="E12" s="503">
        <f>SUM(E13:E114)</f>
        <v>0</v>
      </c>
      <c r="F12" s="503">
        <f>SUM(F13:F114)</f>
        <v>0</v>
      </c>
    </row>
    <row r="13" spans="1:11" x14ac:dyDescent="0.3">
      <c r="A13" s="499">
        <f>Распределение!B13</f>
        <v>0</v>
      </c>
      <c r="B13" s="499">
        <f>Распределение!L13</f>
        <v>0</v>
      </c>
      <c r="C13" s="674" t="str">
        <f>IF(A13=0,"0,00",IF('Состав ВТК'!P9=0,'Состав ВТК'!L9,'Состав ВТК'!P9))</f>
        <v>0,00</v>
      </c>
      <c r="D13" s="674" t="str">
        <f>IF(A13=0,"0,00",IF('Состав ВТК'!Q9=0,'Состав ВТК'!M9,'Состав ВТК'!Q9))</f>
        <v>0,00</v>
      </c>
      <c r="E13" s="500">
        <f>Распределение!N13</f>
        <v>0</v>
      </c>
      <c r="F13" s="500">
        <f>Распределение!M13</f>
        <v>0</v>
      </c>
      <c r="H13" s="420"/>
      <c r="K13" s="420"/>
    </row>
    <row r="14" spans="1:11" x14ac:dyDescent="0.3">
      <c r="A14" s="499">
        <f>Распределение!B14</f>
        <v>0</v>
      </c>
      <c r="B14" s="499">
        <f>Распределение!L14</f>
        <v>0</v>
      </c>
      <c r="C14" s="674" t="str">
        <f>IF(A14=0,"0,00",IF('Состав ВТК'!P10=0,'Состав ВТК'!L10,'Состав ВТК'!P10))</f>
        <v>0,00</v>
      </c>
      <c r="D14" s="674" t="str">
        <f>IF(A14=0,"0,00",IF('Состав ВТК'!Q10=0,'Состав ВТК'!M10,'Состав ВТК'!Q10))</f>
        <v>0,00</v>
      </c>
      <c r="E14" s="500">
        <f>Распределение!N14</f>
        <v>0</v>
      </c>
      <c r="F14" s="500">
        <f>Распределение!M14</f>
        <v>0</v>
      </c>
      <c r="K14" s="420"/>
    </row>
    <row r="15" spans="1:11" x14ac:dyDescent="0.3">
      <c r="A15" s="499">
        <f>Распределение!B15</f>
        <v>0</v>
      </c>
      <c r="B15" s="499">
        <f>Распределение!L15</f>
        <v>0</v>
      </c>
      <c r="C15" s="674" t="str">
        <f>IF(A15=0,"0,00",IF('Состав ВТК'!P11=0,'Состав ВТК'!L11,'Состав ВТК'!P11))</f>
        <v>0,00</v>
      </c>
      <c r="D15" s="674" t="str">
        <f>IF(A15=0,"0,00",IF('Состав ВТК'!Q11=0,'Состав ВТК'!M11,'Состав ВТК'!Q11))</f>
        <v>0,00</v>
      </c>
      <c r="E15" s="500">
        <f>Распределение!N15</f>
        <v>0</v>
      </c>
      <c r="F15" s="500">
        <f>Распределение!M15</f>
        <v>0</v>
      </c>
      <c r="H15" s="420"/>
      <c r="K15" s="420"/>
    </row>
    <row r="16" spans="1:11" x14ac:dyDescent="0.3">
      <c r="A16" s="499">
        <f>Распределение!B16</f>
        <v>0</v>
      </c>
      <c r="B16" s="499">
        <f>Распределение!L16</f>
        <v>0</v>
      </c>
      <c r="C16" s="674" t="str">
        <f>IF(A16=0,"0,00",IF('Состав ВТК'!P12=0,'Состав ВТК'!L12,'Состав ВТК'!P12))</f>
        <v>0,00</v>
      </c>
      <c r="D16" s="674" t="str">
        <f>IF(A16=0,"0,00",IF('Состав ВТК'!Q12=0,'Состав ВТК'!M12,'Состав ВТК'!Q12))</f>
        <v>0,00</v>
      </c>
      <c r="E16" s="500">
        <f>Распределение!N16</f>
        <v>0</v>
      </c>
      <c r="F16" s="500">
        <f>Распределение!M16</f>
        <v>0</v>
      </c>
      <c r="K16" s="420"/>
    </row>
    <row r="17" spans="1:11" x14ac:dyDescent="0.3">
      <c r="A17" s="499">
        <f>Распределение!B17</f>
        <v>0</v>
      </c>
      <c r="B17" s="499">
        <f>Распределение!L17</f>
        <v>0</v>
      </c>
      <c r="C17" s="674" t="str">
        <f>IF(A17=0,"0,00",IF('Состав ВТК'!P13=0,'Состав ВТК'!L13,'Состав ВТК'!P13))</f>
        <v>0,00</v>
      </c>
      <c r="D17" s="674" t="str">
        <f>IF(A17=0,"0,00",IF('Состав ВТК'!Q13=0,'Состав ВТК'!M13,'Состав ВТК'!Q13))</f>
        <v>0,00</v>
      </c>
      <c r="E17" s="500">
        <f>Распределение!N17</f>
        <v>0</v>
      </c>
      <c r="F17" s="500">
        <f>Распределение!M17</f>
        <v>0</v>
      </c>
      <c r="K17" s="420"/>
    </row>
    <row r="18" spans="1:11" x14ac:dyDescent="0.3">
      <c r="A18" s="499">
        <f>Распределение!B18</f>
        <v>0</v>
      </c>
      <c r="B18" s="499">
        <f>Распределение!L18</f>
        <v>0</v>
      </c>
      <c r="C18" s="674" t="str">
        <f>IF(A18=0,"0,00",IF('Состав ВТК'!P14=0,'Состав ВТК'!L14,'Состав ВТК'!P14))</f>
        <v>0,00</v>
      </c>
      <c r="D18" s="674" t="str">
        <f>IF(A18=0,"0,00",IF('Состав ВТК'!Q14=0,'Состав ВТК'!M14,'Состав ВТК'!Q14))</f>
        <v>0,00</v>
      </c>
      <c r="E18" s="500">
        <f>Распределение!N18</f>
        <v>0</v>
      </c>
      <c r="F18" s="500">
        <f>Распределение!M18</f>
        <v>0</v>
      </c>
      <c r="K18" s="420"/>
    </row>
    <row r="19" spans="1:11" x14ac:dyDescent="0.3">
      <c r="A19" s="499">
        <f>Распределение!B19</f>
        <v>0</v>
      </c>
      <c r="B19" s="499">
        <f>Распределение!L19</f>
        <v>0</v>
      </c>
      <c r="C19" s="674" t="str">
        <f>IF(A19=0,"0,00",IF('Состав ВТК'!P15=0,'Состав ВТК'!L15,'Состав ВТК'!P15))</f>
        <v>0,00</v>
      </c>
      <c r="D19" s="674" t="str">
        <f>IF(A19=0,"0,00",IF('Состав ВТК'!Q15=0,'Состав ВТК'!M15,'Состав ВТК'!Q15))</f>
        <v>0,00</v>
      </c>
      <c r="E19" s="500">
        <f>Распределение!N19</f>
        <v>0</v>
      </c>
      <c r="F19" s="500">
        <f>Распределение!M19</f>
        <v>0</v>
      </c>
      <c r="H19" s="420"/>
      <c r="K19" s="420"/>
    </row>
    <row r="20" spans="1:11" x14ac:dyDescent="0.3">
      <c r="A20" s="499">
        <f>Распределение!B20</f>
        <v>0</v>
      </c>
      <c r="B20" s="499">
        <f>Распределение!L20</f>
        <v>0</v>
      </c>
      <c r="C20" s="674" t="str">
        <f>IF(A20=0,"0,00",IF('Состав ВТК'!P16=0,'Состав ВТК'!L16,'Состав ВТК'!P16))</f>
        <v>0,00</v>
      </c>
      <c r="D20" s="674" t="str">
        <f>IF(A20=0,"0,00",IF('Состав ВТК'!Q16=0,'Состав ВТК'!M16,'Состав ВТК'!Q16))</f>
        <v>0,00</v>
      </c>
      <c r="E20" s="500">
        <f>Распределение!N20</f>
        <v>0</v>
      </c>
      <c r="F20" s="500">
        <f>Распределение!M20</f>
        <v>0</v>
      </c>
      <c r="K20" s="420"/>
    </row>
    <row r="21" spans="1:11" x14ac:dyDescent="0.3">
      <c r="A21" s="499">
        <f>Распределение!B21</f>
        <v>0</v>
      </c>
      <c r="B21" s="499">
        <f>Распределение!L21</f>
        <v>0</v>
      </c>
      <c r="C21" s="674" t="str">
        <f>IF(A21=0,"0,00",IF('Состав ВТК'!P17=0,'Состав ВТК'!L17,'Состав ВТК'!P17))</f>
        <v>0,00</v>
      </c>
      <c r="D21" s="674" t="str">
        <f>IF(A21=0,"0,00",IF('Состав ВТК'!Q17=0,'Состав ВТК'!M17,'Состав ВТК'!Q17))</f>
        <v>0,00</v>
      </c>
      <c r="E21" s="500">
        <f>Распределение!N21</f>
        <v>0</v>
      </c>
      <c r="F21" s="500">
        <f>Распределение!M21</f>
        <v>0</v>
      </c>
      <c r="K21" s="420"/>
    </row>
    <row r="22" spans="1:11" x14ac:dyDescent="0.3">
      <c r="A22" s="499">
        <f>Распределение!B22</f>
        <v>0</v>
      </c>
      <c r="B22" s="499">
        <f>Распределение!L22</f>
        <v>0</v>
      </c>
      <c r="C22" s="674" t="str">
        <f>IF(A22=0,"0,00",IF('Состав ВТК'!P18=0,'Состав ВТК'!L18,'Состав ВТК'!P18))</f>
        <v>0,00</v>
      </c>
      <c r="D22" s="674" t="str">
        <f>IF(A22=0,"0,00",IF('Состав ВТК'!Q18=0,'Состав ВТК'!M18,'Состав ВТК'!Q18))</f>
        <v>0,00</v>
      </c>
      <c r="E22" s="500">
        <f>Распределение!N22</f>
        <v>0</v>
      </c>
      <c r="F22" s="500">
        <f>Распределение!M22</f>
        <v>0</v>
      </c>
      <c r="K22" s="420"/>
    </row>
    <row r="23" spans="1:11" x14ac:dyDescent="0.3">
      <c r="A23" s="499">
        <f>Распределение!B23</f>
        <v>0</v>
      </c>
      <c r="B23" s="499">
        <f>Распределение!L23</f>
        <v>0</v>
      </c>
      <c r="C23" s="674" t="str">
        <f>IF(A23=0,"0,00",IF('Состав ВТК'!P19=0,'Состав ВТК'!L19,'Состав ВТК'!P19))</f>
        <v>0,00</v>
      </c>
      <c r="D23" s="674" t="str">
        <f>IF(A23=0,"0,00",IF('Состав ВТК'!Q19=0,'Состав ВТК'!M19,'Состав ВТК'!Q19))</f>
        <v>0,00</v>
      </c>
      <c r="E23" s="500">
        <f>Распределение!N23</f>
        <v>0</v>
      </c>
      <c r="F23" s="500">
        <f>Распределение!M23</f>
        <v>0</v>
      </c>
      <c r="K23" s="420"/>
    </row>
    <row r="24" spans="1:11" ht="21.75" customHeight="1" x14ac:dyDescent="0.3">
      <c r="A24" s="499">
        <f>Распределение!B24</f>
        <v>0</v>
      </c>
      <c r="B24" s="499">
        <f>Распределение!L24</f>
        <v>0</v>
      </c>
      <c r="C24" s="674" t="str">
        <f>IF(A24=0,"0,00",IF('Состав ВТК'!P20=0,'Состав ВТК'!L20,'Состав ВТК'!P20))</f>
        <v>0,00</v>
      </c>
      <c r="D24" s="674" t="str">
        <f>IF(A24=0,"0,00",IF('Состав ВТК'!Q20=0,'Состав ВТК'!M20,'Состав ВТК'!Q20))</f>
        <v>0,00</v>
      </c>
      <c r="E24" s="500">
        <f>Распределение!N24</f>
        <v>0</v>
      </c>
      <c r="F24" s="500">
        <f>Распределение!M24</f>
        <v>0</v>
      </c>
      <c r="K24" s="420"/>
    </row>
    <row r="25" spans="1:11" ht="21" customHeight="1" x14ac:dyDescent="0.3">
      <c r="A25" s="499">
        <f>Распределение!B25</f>
        <v>0</v>
      </c>
      <c r="B25" s="499">
        <f>Распределение!L25</f>
        <v>0</v>
      </c>
      <c r="C25" s="674" t="str">
        <f>IF(A25=0,"0,00",IF('Состав ВТК'!P21=0,'Состав ВТК'!L21,'Состав ВТК'!P21))</f>
        <v>0,00</v>
      </c>
      <c r="D25" s="674" t="str">
        <f>IF(A25=0,"0,00",IF('Состав ВТК'!Q21=0,'Состав ВТК'!M21,'Состав ВТК'!Q21))</f>
        <v>0,00</v>
      </c>
      <c r="E25" s="500">
        <f>Распределение!N25</f>
        <v>0</v>
      </c>
      <c r="F25" s="500">
        <f>Распределение!M25</f>
        <v>0</v>
      </c>
      <c r="K25" s="420"/>
    </row>
    <row r="26" spans="1:11" x14ac:dyDescent="0.3">
      <c r="A26" s="499">
        <f>Распределение!B26</f>
        <v>0</v>
      </c>
      <c r="B26" s="499">
        <f>Распределение!L26</f>
        <v>0</v>
      </c>
      <c r="C26" s="674" t="str">
        <f>IF(A26=0,"0,00",IF('Состав ВТК'!P22=0,'Состав ВТК'!L22,'Состав ВТК'!P22))</f>
        <v>0,00</v>
      </c>
      <c r="D26" s="674" t="str">
        <f>IF(A26=0,"0,00",IF('Состав ВТК'!Q22=0,'Состав ВТК'!M22,'Состав ВТК'!Q22))</f>
        <v>0,00</v>
      </c>
      <c r="E26" s="500">
        <f>Распределение!N26</f>
        <v>0</v>
      </c>
      <c r="F26" s="500">
        <f>Распределение!M26</f>
        <v>0</v>
      </c>
      <c r="K26" s="420"/>
    </row>
    <row r="27" spans="1:11" outlineLevel="1" x14ac:dyDescent="0.3">
      <c r="A27" s="499">
        <f>Распределение!B27</f>
        <v>0</v>
      </c>
      <c r="B27" s="499">
        <f>Распределение!L27</f>
        <v>0</v>
      </c>
      <c r="C27" s="674" t="str">
        <f>IF(A27=0,"0,00",IF('Состав ВТК'!P23=0,'Состав ВТК'!L23,'Состав ВТК'!P23))</f>
        <v>0,00</v>
      </c>
      <c r="D27" s="674" t="str">
        <f>IF(A27=0,"0,00",IF('Состав ВТК'!Q23=0,'Состав ВТК'!M23,'Состав ВТК'!Q23))</f>
        <v>0,00</v>
      </c>
      <c r="E27" s="500">
        <f>Распределение!N27</f>
        <v>0</v>
      </c>
      <c r="F27" s="500">
        <f>Распределение!M27</f>
        <v>0</v>
      </c>
      <c r="K27" s="420"/>
    </row>
    <row r="28" spans="1:11" hidden="1" outlineLevel="1" x14ac:dyDescent="0.3">
      <c r="A28" s="499">
        <f>Распределение!B28</f>
        <v>0</v>
      </c>
      <c r="B28" s="499">
        <f>Распределение!L28</f>
        <v>0</v>
      </c>
      <c r="C28" s="674" t="str">
        <f>IF(A28=0,"0,00",IF('Состав ВТК'!P24=0,'Состав ВТК'!L24,'Состав ВТК'!P24))</f>
        <v>0,00</v>
      </c>
      <c r="D28" s="674" t="str">
        <f>IF(A28=0,"0,00",IF('Состав ВТК'!Q24=0,'Состав ВТК'!M24,'Состав ВТК'!Q24))</f>
        <v>0,00</v>
      </c>
      <c r="E28" s="500">
        <f>Распределение!N28</f>
        <v>0</v>
      </c>
      <c r="F28" s="500">
        <f>Распределение!M28</f>
        <v>0</v>
      </c>
      <c r="K28" s="420"/>
    </row>
    <row r="29" spans="1:11" hidden="1" outlineLevel="1" x14ac:dyDescent="0.3">
      <c r="A29" s="499">
        <f>Распределение!B29</f>
        <v>0</v>
      </c>
      <c r="B29" s="499">
        <f>Распределение!L29</f>
        <v>0</v>
      </c>
      <c r="C29" s="674" t="str">
        <f>IF(A29=0,"0,00",IF('Состав ВТК'!P25=0,'Состав ВТК'!L25,'Состав ВТК'!P25))</f>
        <v>0,00</v>
      </c>
      <c r="D29" s="674" t="str">
        <f>IF(A29=0,"0,00",IF('Состав ВТК'!Q25=0,'Состав ВТК'!M25,'Состав ВТК'!Q25))</f>
        <v>0,00</v>
      </c>
      <c r="E29" s="500">
        <f>Распределение!N29</f>
        <v>0</v>
      </c>
      <c r="F29" s="500">
        <f>Распределение!M29</f>
        <v>0</v>
      </c>
      <c r="K29" s="420"/>
    </row>
    <row r="30" spans="1:11" hidden="1" outlineLevel="1" x14ac:dyDescent="0.3">
      <c r="A30" s="499">
        <f>Распределение!B30</f>
        <v>0</v>
      </c>
      <c r="B30" s="499">
        <f>Распределение!L30</f>
        <v>0</v>
      </c>
      <c r="C30" s="674" t="str">
        <f>IF(A30=0,"0,00",IF('Состав ВТК'!P26=0,'Состав ВТК'!L26,'Состав ВТК'!P26))</f>
        <v>0,00</v>
      </c>
      <c r="D30" s="674" t="str">
        <f>IF(A30=0,"0,00",IF('Состав ВТК'!Q26=0,'Состав ВТК'!M26,'Состав ВТК'!Q26))</f>
        <v>0,00</v>
      </c>
      <c r="E30" s="500">
        <f>Распределение!N30</f>
        <v>0</v>
      </c>
      <c r="F30" s="500">
        <f>Распределение!M30</f>
        <v>0</v>
      </c>
      <c r="K30" s="420"/>
    </row>
    <row r="31" spans="1:11" s="484" customFormat="1" hidden="1" outlineLevel="1" x14ac:dyDescent="0.3">
      <c r="A31" s="499">
        <f>Распределение!B31</f>
        <v>0</v>
      </c>
      <c r="B31" s="499">
        <f>Распределение!L31</f>
        <v>0</v>
      </c>
      <c r="C31" s="674" t="str">
        <f>IF(A31=0,"0,00",IF('Состав ВТК'!P27=0,'Состав ВТК'!L27,'Состав ВТК'!P27))</f>
        <v>0,00</v>
      </c>
      <c r="D31" s="674" t="str">
        <f>IF(A31=0,"0,00",IF('Состав ВТК'!Q27=0,'Состав ВТК'!M27,'Состав ВТК'!Q27))</f>
        <v>0,00</v>
      </c>
      <c r="E31" s="500">
        <f>Распределение!N31</f>
        <v>0</v>
      </c>
      <c r="F31" s="500">
        <f>Распределение!M31</f>
        <v>0</v>
      </c>
      <c r="K31" s="420"/>
    </row>
    <row r="32" spans="1:11" s="484" customFormat="1" hidden="1" outlineLevel="1" x14ac:dyDescent="0.3">
      <c r="A32" s="499">
        <f>Распределение!B32</f>
        <v>0</v>
      </c>
      <c r="B32" s="499">
        <f>Распределение!L32</f>
        <v>0</v>
      </c>
      <c r="C32" s="674" t="str">
        <f>IF(A32=0,"0,00",IF('Состав ВТК'!P28=0,'Состав ВТК'!L28,'Состав ВТК'!P28))</f>
        <v>0,00</v>
      </c>
      <c r="D32" s="674" t="str">
        <f>IF(A32=0,"0,00",IF('Состав ВТК'!Q28=0,'Состав ВТК'!M28,'Состав ВТК'!Q28))</f>
        <v>0,00</v>
      </c>
      <c r="E32" s="500">
        <f>Распределение!N32</f>
        <v>0</v>
      </c>
      <c r="F32" s="500">
        <f>Распределение!M32</f>
        <v>0</v>
      </c>
      <c r="K32" s="420"/>
    </row>
    <row r="33" spans="1:11" s="484" customFormat="1" hidden="1" outlineLevel="1" x14ac:dyDescent="0.3">
      <c r="A33" s="499">
        <f>Распределение!B33</f>
        <v>0</v>
      </c>
      <c r="B33" s="499">
        <f>Распределение!L33</f>
        <v>0</v>
      </c>
      <c r="C33" s="674" t="str">
        <f>IF(A33=0,"0,00",IF('Состав ВТК'!P29=0,'Состав ВТК'!L29,'Состав ВТК'!P29))</f>
        <v>0,00</v>
      </c>
      <c r="D33" s="674" t="str">
        <f>IF(A33=0,"0,00",IF('Состав ВТК'!Q29=0,'Состав ВТК'!M29,'Состав ВТК'!Q29))</f>
        <v>0,00</v>
      </c>
      <c r="E33" s="500">
        <f>Распределение!N33</f>
        <v>0</v>
      </c>
      <c r="F33" s="500">
        <f>Распределение!M33</f>
        <v>0</v>
      </c>
      <c r="K33" s="420"/>
    </row>
    <row r="34" spans="1:11" s="484" customFormat="1" hidden="1" outlineLevel="1" x14ac:dyDescent="0.3">
      <c r="A34" s="499">
        <f>Распределение!B34</f>
        <v>0</v>
      </c>
      <c r="B34" s="499">
        <f>Распределение!L34</f>
        <v>0</v>
      </c>
      <c r="C34" s="674" t="str">
        <f>IF(A34=0,"0,00",IF('Состав ВТК'!P30=0,'Состав ВТК'!L30,'Состав ВТК'!P30))</f>
        <v>0,00</v>
      </c>
      <c r="D34" s="674" t="str">
        <f>IF(A34=0,"0,00",IF('Состав ВТК'!Q30=0,'Состав ВТК'!M30,'Состав ВТК'!Q30))</f>
        <v>0,00</v>
      </c>
      <c r="E34" s="500">
        <f>Распределение!N34</f>
        <v>0</v>
      </c>
      <c r="F34" s="500">
        <f>Распределение!M34</f>
        <v>0</v>
      </c>
      <c r="K34" s="420"/>
    </row>
    <row r="35" spans="1:11" s="484" customFormat="1" hidden="1" outlineLevel="1" x14ac:dyDescent="0.3">
      <c r="A35" s="499">
        <f>Распределение!B35</f>
        <v>0</v>
      </c>
      <c r="B35" s="499">
        <f>Распределение!L35</f>
        <v>0</v>
      </c>
      <c r="C35" s="674" t="str">
        <f>IF(A35=0,"0,00",IF('Состав ВТК'!P31=0,'Состав ВТК'!L31,'Состав ВТК'!P31))</f>
        <v>0,00</v>
      </c>
      <c r="D35" s="674" t="str">
        <f>IF(A35=0,"0,00",IF('Состав ВТК'!Q31=0,'Состав ВТК'!M31,'Состав ВТК'!Q31))</f>
        <v>0,00</v>
      </c>
      <c r="E35" s="500">
        <f>Распределение!N35</f>
        <v>0</v>
      </c>
      <c r="F35" s="500">
        <f>Распределение!M35</f>
        <v>0</v>
      </c>
      <c r="K35" s="420"/>
    </row>
    <row r="36" spans="1:11" s="484" customFormat="1" hidden="1" outlineLevel="1" x14ac:dyDescent="0.3">
      <c r="A36" s="499">
        <f>Распределение!B36</f>
        <v>0</v>
      </c>
      <c r="B36" s="499">
        <f>Распределение!L36</f>
        <v>0</v>
      </c>
      <c r="C36" s="674" t="str">
        <f>IF(A36=0,"0,00",IF('Состав ВТК'!P32=0,'Состав ВТК'!L32,'Состав ВТК'!P32))</f>
        <v>0,00</v>
      </c>
      <c r="D36" s="674" t="str">
        <f>IF(A36=0,"0,00",IF('Состав ВТК'!Q32=0,'Состав ВТК'!M32,'Состав ВТК'!Q32))</f>
        <v>0,00</v>
      </c>
      <c r="E36" s="500">
        <f>Распределение!N36</f>
        <v>0</v>
      </c>
      <c r="F36" s="500">
        <f>Распределение!M36</f>
        <v>0</v>
      </c>
      <c r="K36" s="420"/>
    </row>
    <row r="37" spans="1:11" s="484" customFormat="1" hidden="1" outlineLevel="1" x14ac:dyDescent="0.3">
      <c r="A37" s="499">
        <f>Распределение!B37</f>
        <v>0</v>
      </c>
      <c r="B37" s="499">
        <f>Распределение!L37</f>
        <v>0</v>
      </c>
      <c r="C37" s="674" t="str">
        <f>IF(A37=0,"0,00",IF('Состав ВТК'!P33=0,'Состав ВТК'!L33,'Состав ВТК'!P33))</f>
        <v>0,00</v>
      </c>
      <c r="D37" s="674" t="str">
        <f>IF(A37=0,"0,00",IF('Состав ВТК'!Q33=0,'Состав ВТК'!M33,'Состав ВТК'!Q33))</f>
        <v>0,00</v>
      </c>
      <c r="E37" s="500">
        <f>Распределение!N37</f>
        <v>0</v>
      </c>
      <c r="F37" s="500">
        <f>Распределение!M37</f>
        <v>0</v>
      </c>
      <c r="K37" s="420"/>
    </row>
    <row r="38" spans="1:11" s="484" customFormat="1" hidden="1" outlineLevel="1" x14ac:dyDescent="0.3">
      <c r="A38" s="499">
        <f>Распределение!B38</f>
        <v>0</v>
      </c>
      <c r="B38" s="499">
        <f>Распределение!L38</f>
        <v>0</v>
      </c>
      <c r="C38" s="674" t="str">
        <f>IF(A38=0,"0,00",IF('Состав ВТК'!P34=0,'Состав ВТК'!L34,'Состав ВТК'!P34))</f>
        <v>0,00</v>
      </c>
      <c r="D38" s="674" t="str">
        <f>IF(A38=0,"0,00",IF('Состав ВТК'!Q34=0,'Состав ВТК'!M34,'Состав ВТК'!Q34))</f>
        <v>0,00</v>
      </c>
      <c r="E38" s="500">
        <f>Распределение!N38</f>
        <v>0</v>
      </c>
      <c r="F38" s="500">
        <f>Распределение!M38</f>
        <v>0</v>
      </c>
      <c r="K38" s="420"/>
    </row>
    <row r="39" spans="1:11" s="484" customFormat="1" hidden="1" outlineLevel="1" x14ac:dyDescent="0.3">
      <c r="A39" s="499">
        <f>Распределение!B39</f>
        <v>0</v>
      </c>
      <c r="B39" s="499">
        <f>Распределение!L39</f>
        <v>0</v>
      </c>
      <c r="C39" s="674" t="str">
        <f>IF(A39=0,"0,00",IF('Состав ВТК'!P35=0,'Состав ВТК'!L35,'Состав ВТК'!P35))</f>
        <v>0,00</v>
      </c>
      <c r="D39" s="674" t="str">
        <f>IF(A39=0,"0,00",IF('Состав ВТК'!Q35=0,'Состав ВТК'!M35,'Состав ВТК'!Q35))</f>
        <v>0,00</v>
      </c>
      <c r="E39" s="500">
        <f>Распределение!N39</f>
        <v>0</v>
      </c>
      <c r="F39" s="500">
        <f>Распределение!M39</f>
        <v>0</v>
      </c>
      <c r="K39" s="420"/>
    </row>
    <row r="40" spans="1:11" s="484" customFormat="1" hidden="1" outlineLevel="1" x14ac:dyDescent="0.3">
      <c r="A40" s="499">
        <f>Распределение!B40</f>
        <v>0</v>
      </c>
      <c r="B40" s="499">
        <f>Распределение!L40</f>
        <v>0</v>
      </c>
      <c r="C40" s="674" t="str">
        <f>IF(A40=0,"0,00",IF('Состав ВТК'!P36=0,'Состав ВТК'!L36,'Состав ВТК'!P36))</f>
        <v>0,00</v>
      </c>
      <c r="D40" s="674" t="str">
        <f>IF(A40=0,"0,00",IF('Состав ВТК'!Q36=0,'Состав ВТК'!M36,'Состав ВТК'!Q36))</f>
        <v>0,00</v>
      </c>
      <c r="E40" s="500">
        <f>Распределение!N40</f>
        <v>0</v>
      </c>
      <c r="F40" s="500">
        <f>Распределение!M40</f>
        <v>0</v>
      </c>
      <c r="K40" s="420"/>
    </row>
    <row r="41" spans="1:11" s="484" customFormat="1" hidden="1" outlineLevel="1" x14ac:dyDescent="0.3">
      <c r="A41" s="499">
        <f>Распределение!B41</f>
        <v>0</v>
      </c>
      <c r="B41" s="499">
        <f>Распределение!L41</f>
        <v>0</v>
      </c>
      <c r="C41" s="674" t="str">
        <f>IF(A41=0,"0,00",IF('Состав ВТК'!P37=0,'Состав ВТК'!L37,'Состав ВТК'!P37))</f>
        <v>0,00</v>
      </c>
      <c r="D41" s="674" t="str">
        <f>IF(A41=0,"0,00",IF('Состав ВТК'!Q37=0,'Состав ВТК'!M37,'Состав ВТК'!Q37))</f>
        <v>0,00</v>
      </c>
      <c r="E41" s="500">
        <f>Распределение!N41</f>
        <v>0</v>
      </c>
      <c r="F41" s="500">
        <f>Распределение!M41</f>
        <v>0</v>
      </c>
      <c r="K41" s="420"/>
    </row>
    <row r="42" spans="1:11" s="484" customFormat="1" hidden="1" outlineLevel="1" x14ac:dyDescent="0.3">
      <c r="A42" s="499">
        <f>Распределение!B42</f>
        <v>0</v>
      </c>
      <c r="B42" s="499">
        <f>Распределение!L42</f>
        <v>0</v>
      </c>
      <c r="C42" s="674" t="str">
        <f>IF(A42=0,"0,00",IF('Состав ВТК'!P38=0,'Состав ВТК'!L38,'Состав ВТК'!P38))</f>
        <v>0,00</v>
      </c>
      <c r="D42" s="674" t="str">
        <f>IF(A42=0,"0,00",IF('Состав ВТК'!Q38=0,'Состав ВТК'!M38,'Состав ВТК'!Q38))</f>
        <v>0,00</v>
      </c>
      <c r="E42" s="500">
        <f>Распределение!N42</f>
        <v>0</v>
      </c>
      <c r="F42" s="500">
        <f>Распределение!M42</f>
        <v>0</v>
      </c>
      <c r="K42" s="420"/>
    </row>
    <row r="43" spans="1:11" s="484" customFormat="1" hidden="1" outlineLevel="1" x14ac:dyDescent="0.3">
      <c r="A43" s="499">
        <f>Распределение!B43</f>
        <v>0</v>
      </c>
      <c r="B43" s="499">
        <f>Распределение!L43</f>
        <v>0</v>
      </c>
      <c r="C43" s="674" t="str">
        <f>IF(A43=0,"0,00",IF('Состав ВТК'!P39=0,'Состав ВТК'!L39,'Состав ВТК'!P39))</f>
        <v>0,00</v>
      </c>
      <c r="D43" s="674" t="str">
        <f>IF(A43=0,"0,00",IF('Состав ВТК'!Q39=0,'Состав ВТК'!M39,'Состав ВТК'!Q39))</f>
        <v>0,00</v>
      </c>
      <c r="E43" s="500">
        <f>Распределение!N43</f>
        <v>0</v>
      </c>
      <c r="F43" s="500">
        <f>Распределение!M43</f>
        <v>0</v>
      </c>
      <c r="K43" s="420"/>
    </row>
    <row r="44" spans="1:11" s="484" customFormat="1" hidden="1" outlineLevel="1" x14ac:dyDescent="0.3">
      <c r="A44" s="499">
        <f>Распределение!B44</f>
        <v>0</v>
      </c>
      <c r="B44" s="499">
        <f>Распределение!L44</f>
        <v>0</v>
      </c>
      <c r="C44" s="674" t="str">
        <f>IF(A44=0,"0,00",IF('Состав ВТК'!P40=0,'Состав ВТК'!L40,'Состав ВТК'!P40))</f>
        <v>0,00</v>
      </c>
      <c r="D44" s="674" t="str">
        <f>IF(A44=0,"0,00",IF('Состав ВТК'!Q40=0,'Состав ВТК'!M40,'Состав ВТК'!Q40))</f>
        <v>0,00</v>
      </c>
      <c r="E44" s="500">
        <f>Распределение!N44</f>
        <v>0</v>
      </c>
      <c r="F44" s="500">
        <f>Распределение!M44</f>
        <v>0</v>
      </c>
      <c r="K44" s="420"/>
    </row>
    <row r="45" spans="1:11" s="484" customFormat="1" hidden="1" outlineLevel="1" x14ac:dyDescent="0.3">
      <c r="A45" s="499">
        <f>Распределение!B45</f>
        <v>0</v>
      </c>
      <c r="B45" s="499">
        <f>Распределение!L45</f>
        <v>0</v>
      </c>
      <c r="C45" s="674" t="str">
        <f>IF(A45=0,"0,00",IF('Состав ВТК'!P41=0,'Состав ВТК'!L41,'Состав ВТК'!P41))</f>
        <v>0,00</v>
      </c>
      <c r="D45" s="674" t="str">
        <f>IF(A45=0,"0,00",IF('Состав ВТК'!Q41=0,'Состав ВТК'!M41,'Состав ВТК'!Q41))</f>
        <v>0,00</v>
      </c>
      <c r="E45" s="500">
        <f>Распределение!N45</f>
        <v>0</v>
      </c>
      <c r="F45" s="500">
        <f>Распределение!M45</f>
        <v>0</v>
      </c>
      <c r="K45" s="420"/>
    </row>
    <row r="46" spans="1:11" s="484" customFormat="1" hidden="1" outlineLevel="1" x14ac:dyDescent="0.3">
      <c r="A46" s="499">
        <f>Распределение!B46</f>
        <v>0</v>
      </c>
      <c r="B46" s="499">
        <f>Распределение!L46</f>
        <v>0</v>
      </c>
      <c r="C46" s="674" t="str">
        <f>IF(A46=0,"0,00",IF('Состав ВТК'!P42=0,'Состав ВТК'!L42,'Состав ВТК'!P42))</f>
        <v>0,00</v>
      </c>
      <c r="D46" s="674" t="str">
        <f>IF(A46=0,"0,00",IF('Состав ВТК'!Q42=0,'Состав ВТК'!M42,'Состав ВТК'!Q42))</f>
        <v>0,00</v>
      </c>
      <c r="E46" s="500">
        <f>Распределение!N46</f>
        <v>0</v>
      </c>
      <c r="F46" s="500">
        <f>Распределение!M46</f>
        <v>0</v>
      </c>
      <c r="K46" s="420"/>
    </row>
    <row r="47" spans="1:11" s="484" customFormat="1" hidden="1" outlineLevel="1" x14ac:dyDescent="0.3">
      <c r="A47" s="499">
        <f>Распределение!B47</f>
        <v>0</v>
      </c>
      <c r="B47" s="499">
        <f>Распределение!L47</f>
        <v>0</v>
      </c>
      <c r="C47" s="674" t="str">
        <f>IF(A47=0,"0,00",IF('Состав ВТК'!P43=0,'Состав ВТК'!L43,'Состав ВТК'!P43))</f>
        <v>0,00</v>
      </c>
      <c r="D47" s="674" t="str">
        <f>IF(A47=0,"0,00",IF('Состав ВТК'!Q43=0,'Состав ВТК'!M43,'Состав ВТК'!Q43))</f>
        <v>0,00</v>
      </c>
      <c r="E47" s="500">
        <f>Распределение!N47</f>
        <v>0</v>
      </c>
      <c r="F47" s="500">
        <f>Распределение!M47</f>
        <v>0</v>
      </c>
      <c r="K47" s="420"/>
    </row>
    <row r="48" spans="1:11" s="484" customFormat="1" hidden="1" outlineLevel="1" x14ac:dyDescent="0.3">
      <c r="A48" s="499">
        <f>Распределение!B48</f>
        <v>0</v>
      </c>
      <c r="B48" s="499">
        <f>Распределение!L48</f>
        <v>0</v>
      </c>
      <c r="C48" s="674" t="str">
        <f>IF(A48=0,"0,00",IF('Состав ВТК'!P44=0,'Состав ВТК'!L44,'Состав ВТК'!P44))</f>
        <v>0,00</v>
      </c>
      <c r="D48" s="674" t="str">
        <f>IF(A48=0,"0,00",IF('Состав ВТК'!Q44=0,'Состав ВТК'!M44,'Состав ВТК'!Q44))</f>
        <v>0,00</v>
      </c>
      <c r="E48" s="500">
        <f>Распределение!N48</f>
        <v>0</v>
      </c>
      <c r="F48" s="500">
        <f>Распределение!M48</f>
        <v>0</v>
      </c>
      <c r="K48" s="420"/>
    </row>
    <row r="49" spans="1:11" s="484" customFormat="1" hidden="1" outlineLevel="1" x14ac:dyDescent="0.3">
      <c r="A49" s="499">
        <f>Распределение!B49</f>
        <v>0</v>
      </c>
      <c r="B49" s="499">
        <f>Распределение!L49</f>
        <v>0</v>
      </c>
      <c r="C49" s="674" t="str">
        <f>IF(A49=0,"0,00",IF('Состав ВТК'!P45=0,'Состав ВТК'!L45,'Состав ВТК'!P45))</f>
        <v>0,00</v>
      </c>
      <c r="D49" s="674" t="str">
        <f>IF(A49=0,"0,00",IF('Состав ВТК'!Q45=0,'Состав ВТК'!M45,'Состав ВТК'!Q45))</f>
        <v>0,00</v>
      </c>
      <c r="E49" s="500">
        <f>Распределение!N49</f>
        <v>0</v>
      </c>
      <c r="F49" s="500">
        <f>Распределение!M49</f>
        <v>0</v>
      </c>
      <c r="K49" s="420"/>
    </row>
    <row r="50" spans="1:11" s="484" customFormat="1" hidden="1" outlineLevel="1" x14ac:dyDescent="0.3">
      <c r="A50" s="499">
        <f>Распределение!B50</f>
        <v>0</v>
      </c>
      <c r="B50" s="499">
        <f>Распределение!L50</f>
        <v>0</v>
      </c>
      <c r="C50" s="674" t="str">
        <f>IF(A50=0,"0,00",IF('Состав ВТК'!P46=0,'Состав ВТК'!L46,'Состав ВТК'!P46))</f>
        <v>0,00</v>
      </c>
      <c r="D50" s="674" t="str">
        <f>IF(A50=0,"0,00",IF('Состав ВТК'!Q46=0,'Состав ВТК'!M46,'Состав ВТК'!Q46))</f>
        <v>0,00</v>
      </c>
      <c r="E50" s="500">
        <f>Распределение!N50</f>
        <v>0</v>
      </c>
      <c r="F50" s="500">
        <f>Распределение!M50</f>
        <v>0</v>
      </c>
      <c r="K50" s="420"/>
    </row>
    <row r="51" spans="1:11" s="484" customFormat="1" hidden="1" outlineLevel="1" x14ac:dyDescent="0.3">
      <c r="A51" s="499">
        <f>Распределение!B51</f>
        <v>0</v>
      </c>
      <c r="B51" s="499">
        <f>Распределение!L51</f>
        <v>0</v>
      </c>
      <c r="C51" s="674" t="str">
        <f>IF(A51=0,"0,00",IF('Состав ВТК'!P47=0,'Состав ВТК'!L47,'Состав ВТК'!P47))</f>
        <v>0,00</v>
      </c>
      <c r="D51" s="674" t="str">
        <f>IF(A51=0,"0,00",IF('Состав ВТК'!Q47=0,'Состав ВТК'!M47,'Состав ВТК'!Q47))</f>
        <v>0,00</v>
      </c>
      <c r="E51" s="500">
        <f>Распределение!N51</f>
        <v>0</v>
      </c>
      <c r="F51" s="500">
        <f>Распределение!M51</f>
        <v>0</v>
      </c>
      <c r="K51" s="420"/>
    </row>
    <row r="52" spans="1:11" s="484" customFormat="1" hidden="1" outlineLevel="1" x14ac:dyDescent="0.3">
      <c r="A52" s="499">
        <f>Распределение!B52</f>
        <v>0</v>
      </c>
      <c r="B52" s="499">
        <f>Распределение!L52</f>
        <v>0</v>
      </c>
      <c r="C52" s="674" t="str">
        <f>IF(A52=0,"0,00",IF('Состав ВТК'!P48=0,'Состав ВТК'!L48,'Состав ВТК'!P48))</f>
        <v>0,00</v>
      </c>
      <c r="D52" s="674" t="str">
        <f>IF(A52=0,"0,00",IF('Состав ВТК'!Q48=0,'Состав ВТК'!M48,'Состав ВТК'!Q48))</f>
        <v>0,00</v>
      </c>
      <c r="E52" s="500">
        <f>Распределение!N52</f>
        <v>0</v>
      </c>
      <c r="F52" s="500">
        <f>Распределение!M52</f>
        <v>0</v>
      </c>
      <c r="K52" s="420"/>
    </row>
    <row r="53" spans="1:11" s="484" customFormat="1" hidden="1" outlineLevel="1" x14ac:dyDescent="0.3">
      <c r="A53" s="499">
        <f>Распределение!B53</f>
        <v>0</v>
      </c>
      <c r="B53" s="499">
        <f>Распределение!L53</f>
        <v>0</v>
      </c>
      <c r="C53" s="674" t="str">
        <f>IF(A53=0,"0,00",IF('Состав ВТК'!P49=0,'Состав ВТК'!L49,'Состав ВТК'!P49))</f>
        <v>0,00</v>
      </c>
      <c r="D53" s="674" t="str">
        <f>IF(A53=0,"0,00",IF('Состав ВТК'!Q49=0,'Состав ВТК'!M49,'Состав ВТК'!Q49))</f>
        <v>0,00</v>
      </c>
      <c r="E53" s="500">
        <f>Распределение!N53</f>
        <v>0</v>
      </c>
      <c r="F53" s="500">
        <f>Распределение!M53</f>
        <v>0</v>
      </c>
      <c r="K53" s="420"/>
    </row>
    <row r="54" spans="1:11" s="484" customFormat="1" hidden="1" outlineLevel="1" x14ac:dyDescent="0.3">
      <c r="A54" s="499">
        <f>Распределение!B54</f>
        <v>0</v>
      </c>
      <c r="B54" s="499">
        <f>Распределение!L54</f>
        <v>0</v>
      </c>
      <c r="C54" s="674" t="str">
        <f>IF(A54=0,"0,00",IF('Состав ВТК'!P50=0,'Состав ВТК'!L50,'Состав ВТК'!P50))</f>
        <v>0,00</v>
      </c>
      <c r="D54" s="674" t="str">
        <f>IF(A54=0,"0,00",IF('Состав ВТК'!Q50=0,'Состав ВТК'!M50,'Состав ВТК'!Q50))</f>
        <v>0,00</v>
      </c>
      <c r="E54" s="500">
        <f>Распределение!N54</f>
        <v>0</v>
      </c>
      <c r="F54" s="500">
        <f>Распределение!M54</f>
        <v>0</v>
      </c>
      <c r="K54" s="420"/>
    </row>
    <row r="55" spans="1:11" s="484" customFormat="1" hidden="1" outlineLevel="1" x14ac:dyDescent="0.3">
      <c r="A55" s="499">
        <f>Распределение!B55</f>
        <v>0</v>
      </c>
      <c r="B55" s="499">
        <f>Распределение!L55</f>
        <v>0</v>
      </c>
      <c r="C55" s="674" t="str">
        <f>IF(A55=0,"0,00",IF('Состав ВТК'!P51=0,'Состав ВТК'!L51,'Состав ВТК'!P51))</f>
        <v>0,00</v>
      </c>
      <c r="D55" s="674" t="str">
        <f>IF(A55=0,"0,00",IF('Состав ВТК'!Q51=0,'Состав ВТК'!M51,'Состав ВТК'!Q51))</f>
        <v>0,00</v>
      </c>
      <c r="E55" s="500">
        <f>Распределение!N55</f>
        <v>0</v>
      </c>
      <c r="F55" s="500">
        <f>Распределение!M55</f>
        <v>0</v>
      </c>
      <c r="K55" s="420"/>
    </row>
    <row r="56" spans="1:11" s="484" customFormat="1" hidden="1" outlineLevel="1" x14ac:dyDescent="0.3">
      <c r="A56" s="499">
        <f>Распределение!B56</f>
        <v>0</v>
      </c>
      <c r="B56" s="499">
        <f>Распределение!L56</f>
        <v>0</v>
      </c>
      <c r="C56" s="674" t="str">
        <f>IF(A56=0,"0,00",IF('Состав ВТК'!P52=0,'Состав ВТК'!L52,'Состав ВТК'!P52))</f>
        <v>0,00</v>
      </c>
      <c r="D56" s="674" t="str">
        <f>IF(A56=0,"0,00",IF('Состав ВТК'!Q52=0,'Состав ВТК'!M52,'Состав ВТК'!Q52))</f>
        <v>0,00</v>
      </c>
      <c r="E56" s="500">
        <f>Распределение!N56</f>
        <v>0</v>
      </c>
      <c r="F56" s="500">
        <f>Распределение!M56</f>
        <v>0</v>
      </c>
      <c r="K56" s="420"/>
    </row>
    <row r="57" spans="1:11" s="484" customFormat="1" hidden="1" outlineLevel="1" x14ac:dyDescent="0.3">
      <c r="A57" s="499">
        <f>Распределение!B57</f>
        <v>0</v>
      </c>
      <c r="B57" s="499">
        <f>Распределение!L57</f>
        <v>0</v>
      </c>
      <c r="C57" s="674" t="str">
        <f>IF(A57=0,"0,00",IF('Состав ВТК'!P53=0,'Состав ВТК'!L53,'Состав ВТК'!P53))</f>
        <v>0,00</v>
      </c>
      <c r="D57" s="674" t="str">
        <f>IF(A57=0,"0,00",IF('Состав ВТК'!Q53=0,'Состав ВТК'!M53,'Состав ВТК'!Q53))</f>
        <v>0,00</v>
      </c>
      <c r="E57" s="500">
        <f>Распределение!N57</f>
        <v>0</v>
      </c>
      <c r="F57" s="500">
        <f>Распределение!M57</f>
        <v>0</v>
      </c>
      <c r="K57" s="420"/>
    </row>
    <row r="58" spans="1:11" s="484" customFormat="1" hidden="1" outlineLevel="1" x14ac:dyDescent="0.3">
      <c r="A58" s="499">
        <f>Распределение!B58</f>
        <v>0</v>
      </c>
      <c r="B58" s="499">
        <f>Распределение!L58</f>
        <v>0</v>
      </c>
      <c r="C58" s="674" t="str">
        <f>IF(A58=0,"0,00",IF('Состав ВТК'!P54=0,'Состав ВТК'!L54,'Состав ВТК'!P54))</f>
        <v>0,00</v>
      </c>
      <c r="D58" s="674" t="str">
        <f>IF(A58=0,"0,00",IF('Состав ВТК'!Q54=0,'Состав ВТК'!M54,'Состав ВТК'!Q54))</f>
        <v>0,00</v>
      </c>
      <c r="E58" s="500">
        <f>Распределение!N58</f>
        <v>0</v>
      </c>
      <c r="F58" s="500">
        <f>Распределение!M58</f>
        <v>0</v>
      </c>
      <c r="K58" s="420"/>
    </row>
    <row r="59" spans="1:11" s="484" customFormat="1" hidden="1" outlineLevel="1" x14ac:dyDescent="0.3">
      <c r="A59" s="499">
        <f>Распределение!B59</f>
        <v>0</v>
      </c>
      <c r="B59" s="499">
        <f>Распределение!L59</f>
        <v>0</v>
      </c>
      <c r="C59" s="674" t="str">
        <f>IF(A59=0,"0,00",IF('Состав ВТК'!P55=0,'Состав ВТК'!L55,'Состав ВТК'!P55))</f>
        <v>0,00</v>
      </c>
      <c r="D59" s="674" t="str">
        <f>IF(A59=0,"0,00",IF('Состав ВТК'!Q55=0,'Состав ВТК'!M55,'Состав ВТК'!Q55))</f>
        <v>0,00</v>
      </c>
      <c r="E59" s="500">
        <f>Распределение!N59</f>
        <v>0</v>
      </c>
      <c r="F59" s="500">
        <f>Распределение!M59</f>
        <v>0</v>
      </c>
      <c r="K59" s="420"/>
    </row>
    <row r="60" spans="1:11" s="484" customFormat="1" hidden="1" outlineLevel="1" x14ac:dyDescent="0.3">
      <c r="A60" s="499">
        <f>Распределение!B60</f>
        <v>0</v>
      </c>
      <c r="B60" s="499">
        <f>Распределение!L60</f>
        <v>0</v>
      </c>
      <c r="C60" s="674" t="str">
        <f>IF(A60=0,"0,00",IF('Состав ВТК'!P56=0,'Состав ВТК'!L56,'Состав ВТК'!P56))</f>
        <v>0,00</v>
      </c>
      <c r="D60" s="674" t="str">
        <f>IF(A60=0,"0,00",IF('Состав ВТК'!Q56=0,'Состав ВТК'!M56,'Состав ВТК'!Q56))</f>
        <v>0,00</v>
      </c>
      <c r="E60" s="500">
        <f>Распределение!N60</f>
        <v>0</v>
      </c>
      <c r="F60" s="500">
        <f>Распределение!M60</f>
        <v>0</v>
      </c>
      <c r="K60" s="420"/>
    </row>
    <row r="61" spans="1:11" s="484" customFormat="1" hidden="1" outlineLevel="1" x14ac:dyDescent="0.3">
      <c r="A61" s="499">
        <f>Распределение!B61</f>
        <v>0</v>
      </c>
      <c r="B61" s="499">
        <f>Распределение!L61</f>
        <v>0</v>
      </c>
      <c r="C61" s="674" t="str">
        <f>IF(A61=0,"0,00",IF('Состав ВТК'!P57=0,'Состав ВТК'!L57,'Состав ВТК'!P57))</f>
        <v>0,00</v>
      </c>
      <c r="D61" s="674" t="str">
        <f>IF(A61=0,"0,00",IF('Состав ВТК'!Q57=0,'Состав ВТК'!M57,'Состав ВТК'!Q57))</f>
        <v>0,00</v>
      </c>
      <c r="E61" s="500">
        <f>Распределение!N61</f>
        <v>0</v>
      </c>
      <c r="F61" s="500">
        <f>Распределение!M61</f>
        <v>0</v>
      </c>
      <c r="K61" s="420"/>
    </row>
    <row r="62" spans="1:11" s="484" customFormat="1" hidden="1" outlineLevel="1" x14ac:dyDescent="0.3">
      <c r="A62" s="499">
        <f>Распределение!B62</f>
        <v>0</v>
      </c>
      <c r="B62" s="499">
        <f>Распределение!L62</f>
        <v>0</v>
      </c>
      <c r="C62" s="674" t="str">
        <f>IF(A62=0,"0,00",IF('Состав ВТК'!P58=0,'Состав ВТК'!L58,'Состав ВТК'!P58))</f>
        <v>0,00</v>
      </c>
      <c r="D62" s="674" t="str">
        <f>IF(A62=0,"0,00",IF('Состав ВТК'!Q58=0,'Состав ВТК'!M58,'Состав ВТК'!Q58))</f>
        <v>0,00</v>
      </c>
      <c r="E62" s="500">
        <f>Распределение!N62</f>
        <v>0</v>
      </c>
      <c r="F62" s="500">
        <f>Распределение!M62</f>
        <v>0</v>
      </c>
      <c r="K62" s="420"/>
    </row>
    <row r="63" spans="1:11" s="484" customFormat="1" hidden="1" outlineLevel="1" x14ac:dyDescent="0.3">
      <c r="A63" s="499">
        <f>Распределение!B63</f>
        <v>0</v>
      </c>
      <c r="B63" s="499">
        <f>Распределение!L63</f>
        <v>0</v>
      </c>
      <c r="C63" s="674" t="str">
        <f>IF(A63=0,"0,00",IF('Состав ВТК'!P59=0,'Состав ВТК'!L59,'Состав ВТК'!P59))</f>
        <v>0,00</v>
      </c>
      <c r="D63" s="674" t="str">
        <f>IF(A63=0,"0,00",IF('Состав ВТК'!Q59=0,'Состав ВТК'!M59,'Состав ВТК'!Q59))</f>
        <v>0,00</v>
      </c>
      <c r="E63" s="500">
        <f>Распределение!N63</f>
        <v>0</v>
      </c>
      <c r="F63" s="500">
        <f>Распределение!M63</f>
        <v>0</v>
      </c>
      <c r="K63" s="420"/>
    </row>
    <row r="64" spans="1:11" s="484" customFormat="1" hidden="1" outlineLevel="1" x14ac:dyDescent="0.3">
      <c r="A64" s="499">
        <f>Распределение!B64</f>
        <v>0</v>
      </c>
      <c r="B64" s="499">
        <f>Распределение!L64</f>
        <v>0</v>
      </c>
      <c r="C64" s="674" t="str">
        <f>IF(A64=0,"0,00",IF('Состав ВТК'!P60=0,'Состав ВТК'!L60,'Состав ВТК'!P60))</f>
        <v>0,00</v>
      </c>
      <c r="D64" s="674" t="str">
        <f>IF(A64=0,"0,00",IF('Состав ВТК'!Q60=0,'Состав ВТК'!M60,'Состав ВТК'!Q60))</f>
        <v>0,00</v>
      </c>
      <c r="E64" s="500">
        <f>Распределение!N64</f>
        <v>0</v>
      </c>
      <c r="F64" s="500">
        <f>Распределение!M64</f>
        <v>0</v>
      </c>
      <c r="K64" s="420"/>
    </row>
    <row r="65" spans="1:11" s="484" customFormat="1" hidden="1" outlineLevel="1" x14ac:dyDescent="0.3">
      <c r="A65" s="499">
        <f>Распределение!B65</f>
        <v>0</v>
      </c>
      <c r="B65" s="499">
        <f>Распределение!L65</f>
        <v>0</v>
      </c>
      <c r="C65" s="674" t="str">
        <f>IF(A65=0,"0,00",IF('Состав ВТК'!P61=0,'Состав ВТК'!L61,'Состав ВТК'!P61))</f>
        <v>0,00</v>
      </c>
      <c r="D65" s="674" t="str">
        <f>IF(A65=0,"0,00",IF('Состав ВТК'!Q61=0,'Состав ВТК'!M61,'Состав ВТК'!Q61))</f>
        <v>0,00</v>
      </c>
      <c r="E65" s="500">
        <f>Распределение!N65</f>
        <v>0</v>
      </c>
      <c r="F65" s="500">
        <f>Распределение!M65</f>
        <v>0</v>
      </c>
      <c r="K65" s="420"/>
    </row>
    <row r="66" spans="1:11" s="484" customFormat="1" hidden="1" outlineLevel="1" x14ac:dyDescent="0.3">
      <c r="A66" s="499">
        <f>Распределение!B66</f>
        <v>0</v>
      </c>
      <c r="B66" s="499">
        <f>Распределение!L66</f>
        <v>0</v>
      </c>
      <c r="C66" s="674" t="str">
        <f>IF(A66=0,"0,00",IF('Состав ВТК'!P62=0,'Состав ВТК'!L62,'Состав ВТК'!P62))</f>
        <v>0,00</v>
      </c>
      <c r="D66" s="674" t="str">
        <f>IF(A66=0,"0,00",IF('Состав ВТК'!Q62=0,'Состав ВТК'!M62,'Состав ВТК'!Q62))</f>
        <v>0,00</v>
      </c>
      <c r="E66" s="500">
        <f>Распределение!N66</f>
        <v>0</v>
      </c>
      <c r="F66" s="500">
        <f>Распределение!M66</f>
        <v>0</v>
      </c>
      <c r="K66" s="420"/>
    </row>
    <row r="67" spans="1:11" s="484" customFormat="1" hidden="1" outlineLevel="1" x14ac:dyDescent="0.3">
      <c r="A67" s="499">
        <f>Распределение!B67</f>
        <v>0</v>
      </c>
      <c r="B67" s="499">
        <f>Распределение!L67</f>
        <v>0</v>
      </c>
      <c r="C67" s="674" t="str">
        <f>IF(A67=0,"0,00",IF('Состав ВТК'!P63=0,'Состав ВТК'!L63,'Состав ВТК'!P63))</f>
        <v>0,00</v>
      </c>
      <c r="D67" s="674" t="str">
        <f>IF(A67=0,"0,00",IF('Состав ВТК'!Q63=0,'Состав ВТК'!M63,'Состав ВТК'!Q63))</f>
        <v>0,00</v>
      </c>
      <c r="E67" s="500">
        <f>Распределение!N67</f>
        <v>0</v>
      </c>
      <c r="F67" s="500">
        <f>Распределение!M67</f>
        <v>0</v>
      </c>
      <c r="K67" s="420"/>
    </row>
    <row r="68" spans="1:11" s="484" customFormat="1" hidden="1" outlineLevel="1" x14ac:dyDescent="0.3">
      <c r="A68" s="499">
        <f>Распределение!B68</f>
        <v>0</v>
      </c>
      <c r="B68" s="499">
        <f>Распределение!L68</f>
        <v>0</v>
      </c>
      <c r="C68" s="674" t="str">
        <f>IF(A68=0,"0,00",IF('Состав ВТК'!P64=0,'Состав ВТК'!L64,'Состав ВТК'!P64))</f>
        <v>0,00</v>
      </c>
      <c r="D68" s="674" t="str">
        <f>IF(A68=0,"0,00",IF('Состав ВТК'!Q64=0,'Состав ВТК'!M64,'Состав ВТК'!Q64))</f>
        <v>0,00</v>
      </c>
      <c r="E68" s="500">
        <f>Распределение!N68</f>
        <v>0</v>
      </c>
      <c r="F68" s="500">
        <f>Распределение!M68</f>
        <v>0</v>
      </c>
      <c r="K68" s="420"/>
    </row>
    <row r="69" spans="1:11" s="484" customFormat="1" hidden="1" outlineLevel="1" x14ac:dyDescent="0.3">
      <c r="A69" s="499">
        <f>Распределение!B69</f>
        <v>0</v>
      </c>
      <c r="B69" s="499">
        <f>Распределение!L69</f>
        <v>0</v>
      </c>
      <c r="C69" s="674" t="str">
        <f>IF(A69=0,"0,00",IF('Состав ВТК'!P65=0,'Состав ВТК'!L65,'Состав ВТК'!P65))</f>
        <v>0,00</v>
      </c>
      <c r="D69" s="674" t="str">
        <f>IF(A69=0,"0,00",IF('Состав ВТК'!Q65=0,'Состав ВТК'!M65,'Состав ВТК'!Q65))</f>
        <v>0,00</v>
      </c>
      <c r="E69" s="500">
        <f>Распределение!N69</f>
        <v>0</v>
      </c>
      <c r="F69" s="500">
        <f>Распределение!M69</f>
        <v>0</v>
      </c>
      <c r="K69" s="420"/>
    </row>
    <row r="70" spans="1:11" s="484" customFormat="1" hidden="1" outlineLevel="1" x14ac:dyDescent="0.3">
      <c r="A70" s="499">
        <f>Распределение!B70</f>
        <v>0</v>
      </c>
      <c r="B70" s="499">
        <f>Распределение!L70</f>
        <v>0</v>
      </c>
      <c r="C70" s="674" t="str">
        <f>IF(A70=0,"0,00",IF('Состав ВТК'!P66=0,'Состав ВТК'!L66,'Состав ВТК'!P66))</f>
        <v>0,00</v>
      </c>
      <c r="D70" s="674" t="str">
        <f>IF(A70=0,"0,00",IF('Состав ВТК'!Q66=0,'Состав ВТК'!M66,'Состав ВТК'!Q66))</f>
        <v>0,00</v>
      </c>
      <c r="E70" s="500">
        <f>Распределение!N70</f>
        <v>0</v>
      </c>
      <c r="F70" s="500">
        <f>Распределение!M70</f>
        <v>0</v>
      </c>
      <c r="K70" s="420"/>
    </row>
    <row r="71" spans="1:11" s="484" customFormat="1" hidden="1" outlineLevel="1" x14ac:dyDescent="0.3">
      <c r="A71" s="499">
        <f>Распределение!B71</f>
        <v>0</v>
      </c>
      <c r="B71" s="499">
        <f>Распределение!L71</f>
        <v>0</v>
      </c>
      <c r="C71" s="674" t="str">
        <f>IF(A71=0,"0,00",IF('Состав ВТК'!P67=0,'Состав ВТК'!L67,'Состав ВТК'!P67))</f>
        <v>0,00</v>
      </c>
      <c r="D71" s="674" t="str">
        <f>IF(A71=0,"0,00",IF('Состав ВТК'!Q67=0,'Состав ВТК'!M67,'Состав ВТК'!Q67))</f>
        <v>0,00</v>
      </c>
      <c r="E71" s="500">
        <f>Распределение!N71</f>
        <v>0</v>
      </c>
      <c r="F71" s="500">
        <f>Распределение!M71</f>
        <v>0</v>
      </c>
      <c r="K71" s="420"/>
    </row>
    <row r="72" spans="1:11" s="484" customFormat="1" hidden="1" outlineLevel="1" x14ac:dyDescent="0.3">
      <c r="A72" s="499">
        <f>Распределение!B72</f>
        <v>0</v>
      </c>
      <c r="B72" s="499">
        <f>Распределение!L72</f>
        <v>0</v>
      </c>
      <c r="C72" s="674" t="str">
        <f>IF(A72=0,"0,00",IF('Состав ВТК'!P68=0,'Состав ВТК'!L68,'Состав ВТК'!P68))</f>
        <v>0,00</v>
      </c>
      <c r="D72" s="674" t="str">
        <f>IF(A72=0,"0,00",IF('Состав ВТК'!Q68=0,'Состав ВТК'!M68,'Состав ВТК'!Q68))</f>
        <v>0,00</v>
      </c>
      <c r="E72" s="500">
        <f>Распределение!N72</f>
        <v>0</v>
      </c>
      <c r="F72" s="500">
        <f>Распределение!M72</f>
        <v>0</v>
      </c>
      <c r="K72" s="420"/>
    </row>
    <row r="73" spans="1:11" s="484" customFormat="1" hidden="1" outlineLevel="1" x14ac:dyDescent="0.3">
      <c r="A73" s="499">
        <f>Распределение!B73</f>
        <v>0</v>
      </c>
      <c r="B73" s="499">
        <f>Распределение!L73</f>
        <v>0</v>
      </c>
      <c r="C73" s="674" t="str">
        <f>IF(A73=0,"0,00",IF('Состав ВТК'!P69=0,'Состав ВТК'!L69,'Состав ВТК'!P69))</f>
        <v>0,00</v>
      </c>
      <c r="D73" s="674" t="str">
        <f>IF(A73=0,"0,00",IF('Состав ВТК'!Q69=0,'Состав ВТК'!M69,'Состав ВТК'!Q69))</f>
        <v>0,00</v>
      </c>
      <c r="E73" s="500">
        <f>Распределение!N73</f>
        <v>0</v>
      </c>
      <c r="F73" s="500">
        <f>Распределение!M73</f>
        <v>0</v>
      </c>
      <c r="K73" s="420"/>
    </row>
    <row r="74" spans="1:11" s="484" customFormat="1" hidden="1" outlineLevel="1" x14ac:dyDescent="0.3">
      <c r="A74" s="499">
        <f>Распределение!B74</f>
        <v>0</v>
      </c>
      <c r="B74" s="499">
        <f>Распределение!L74</f>
        <v>0</v>
      </c>
      <c r="C74" s="674" t="str">
        <f>IF(A74=0,"0,00",IF('Состав ВТК'!P70=0,'Состав ВТК'!L70,'Состав ВТК'!P70))</f>
        <v>0,00</v>
      </c>
      <c r="D74" s="674" t="str">
        <f>IF(A74=0,"0,00",IF('Состав ВТК'!Q70=0,'Состав ВТК'!M70,'Состав ВТК'!Q70))</f>
        <v>0,00</v>
      </c>
      <c r="E74" s="500">
        <f>Распределение!N74</f>
        <v>0</v>
      </c>
      <c r="F74" s="500">
        <f>Распределение!M74</f>
        <v>0</v>
      </c>
      <c r="K74" s="420"/>
    </row>
    <row r="75" spans="1:11" s="484" customFormat="1" hidden="1" outlineLevel="1" x14ac:dyDescent="0.3">
      <c r="A75" s="499">
        <f>Распределение!B75</f>
        <v>0</v>
      </c>
      <c r="B75" s="499">
        <f>Распределение!L75</f>
        <v>0</v>
      </c>
      <c r="C75" s="674" t="str">
        <f>IF(A75=0,"0,00",IF('Состав ВТК'!P71=0,'Состав ВТК'!L71,'Состав ВТК'!P71))</f>
        <v>0,00</v>
      </c>
      <c r="D75" s="674" t="str">
        <f>IF(A75=0,"0,00",IF('Состав ВТК'!Q71=0,'Состав ВТК'!M71,'Состав ВТК'!Q71))</f>
        <v>0,00</v>
      </c>
      <c r="E75" s="500">
        <f>Распределение!N75</f>
        <v>0</v>
      </c>
      <c r="F75" s="500">
        <f>Распределение!M75</f>
        <v>0</v>
      </c>
      <c r="K75" s="420"/>
    </row>
    <row r="76" spans="1:11" s="484" customFormat="1" hidden="1" outlineLevel="1" x14ac:dyDescent="0.3">
      <c r="A76" s="499">
        <f>Распределение!B76</f>
        <v>0</v>
      </c>
      <c r="B76" s="499">
        <f>Распределение!L76</f>
        <v>0</v>
      </c>
      <c r="C76" s="674" t="str">
        <f>IF(A76=0,"0,00",IF('Состав ВТК'!P72=0,'Состав ВТК'!L72,'Состав ВТК'!P72))</f>
        <v>0,00</v>
      </c>
      <c r="D76" s="674" t="str">
        <f>IF(A76=0,"0,00",IF('Состав ВТК'!Q72=0,'Состав ВТК'!M72,'Состав ВТК'!Q72))</f>
        <v>0,00</v>
      </c>
      <c r="E76" s="500">
        <f>Распределение!N76</f>
        <v>0</v>
      </c>
      <c r="F76" s="500">
        <f>Распределение!M76</f>
        <v>0</v>
      </c>
      <c r="K76" s="420"/>
    </row>
    <row r="77" spans="1:11" s="484" customFormat="1" hidden="1" outlineLevel="1" x14ac:dyDescent="0.3">
      <c r="A77" s="499">
        <f>Распределение!B77</f>
        <v>0</v>
      </c>
      <c r="B77" s="499">
        <f>Распределение!L77</f>
        <v>0</v>
      </c>
      <c r="C77" s="674" t="str">
        <f>IF(A77=0,"0,00",IF('Состав ВТК'!P73=0,'Состав ВТК'!L73,'Состав ВТК'!P73))</f>
        <v>0,00</v>
      </c>
      <c r="D77" s="674" t="str">
        <f>IF(A77=0,"0,00",IF('Состав ВТК'!Q73=0,'Состав ВТК'!M73,'Состав ВТК'!Q73))</f>
        <v>0,00</v>
      </c>
      <c r="E77" s="500">
        <f>Распределение!N77</f>
        <v>0</v>
      </c>
      <c r="F77" s="500">
        <f>Распределение!M77</f>
        <v>0</v>
      </c>
      <c r="K77" s="420"/>
    </row>
    <row r="78" spans="1:11" s="484" customFormat="1" hidden="1" outlineLevel="1" x14ac:dyDescent="0.3">
      <c r="A78" s="499">
        <f>Распределение!B78</f>
        <v>0</v>
      </c>
      <c r="B78" s="499">
        <f>Распределение!L78</f>
        <v>0</v>
      </c>
      <c r="C78" s="674" t="str">
        <f>IF(A78=0,"0,00",IF('Состав ВТК'!P74=0,'Состав ВТК'!L74,'Состав ВТК'!P74))</f>
        <v>0,00</v>
      </c>
      <c r="D78" s="674" t="str">
        <f>IF(A78=0,"0,00",IF('Состав ВТК'!Q74=0,'Состав ВТК'!M74,'Состав ВТК'!Q74))</f>
        <v>0,00</v>
      </c>
      <c r="E78" s="500">
        <f>Распределение!N78</f>
        <v>0</v>
      </c>
      <c r="F78" s="500">
        <f>Распределение!M78</f>
        <v>0</v>
      </c>
      <c r="K78" s="420"/>
    </row>
    <row r="79" spans="1:11" s="484" customFormat="1" hidden="1" outlineLevel="1" x14ac:dyDescent="0.3">
      <c r="A79" s="499">
        <f>Распределение!B79</f>
        <v>0</v>
      </c>
      <c r="B79" s="499">
        <f>Распределение!L79</f>
        <v>0</v>
      </c>
      <c r="C79" s="674" t="str">
        <f>IF(A79=0,"0,00",IF('Состав ВТК'!P75=0,'Состав ВТК'!L75,'Состав ВТК'!P75))</f>
        <v>0,00</v>
      </c>
      <c r="D79" s="674" t="str">
        <f>IF(A79=0,"0,00",IF('Состав ВТК'!Q75=0,'Состав ВТК'!M75,'Состав ВТК'!Q75))</f>
        <v>0,00</v>
      </c>
      <c r="E79" s="500">
        <f>Распределение!N79</f>
        <v>0</v>
      </c>
      <c r="F79" s="500">
        <f>Распределение!M79</f>
        <v>0</v>
      </c>
      <c r="K79" s="420"/>
    </row>
    <row r="80" spans="1:11" s="484" customFormat="1" hidden="1" outlineLevel="1" x14ac:dyDescent="0.3">
      <c r="A80" s="499">
        <f>Распределение!B80</f>
        <v>0</v>
      </c>
      <c r="B80" s="499">
        <f>Распределение!L80</f>
        <v>0</v>
      </c>
      <c r="C80" s="674" t="str">
        <f>IF(A80=0,"0,00",IF('Состав ВТК'!P76=0,'Состав ВТК'!L76,'Состав ВТК'!P76))</f>
        <v>0,00</v>
      </c>
      <c r="D80" s="674" t="str">
        <f>IF(A80=0,"0,00",IF('Состав ВТК'!Q76=0,'Состав ВТК'!M76,'Состав ВТК'!Q76))</f>
        <v>0,00</v>
      </c>
      <c r="E80" s="500">
        <f>Распределение!N80</f>
        <v>0</v>
      </c>
      <c r="F80" s="500">
        <f>Распределение!M80</f>
        <v>0</v>
      </c>
      <c r="K80" s="420"/>
    </row>
    <row r="81" spans="1:11" s="484" customFormat="1" hidden="1" outlineLevel="1" x14ac:dyDescent="0.3">
      <c r="A81" s="499">
        <f>Распределение!B81</f>
        <v>0</v>
      </c>
      <c r="B81" s="499">
        <f>Распределение!L81</f>
        <v>0</v>
      </c>
      <c r="C81" s="674" t="str">
        <f>IF(A81=0,"0,00",IF('Состав ВТК'!P77=0,'Состав ВТК'!L77,'Состав ВТК'!P77))</f>
        <v>0,00</v>
      </c>
      <c r="D81" s="674" t="str">
        <f>IF(A81=0,"0,00",IF('Состав ВТК'!Q77=0,'Состав ВТК'!M77,'Состав ВТК'!Q77))</f>
        <v>0,00</v>
      </c>
      <c r="E81" s="500">
        <f>Распределение!N81</f>
        <v>0</v>
      </c>
      <c r="F81" s="500">
        <f>Распределение!M81</f>
        <v>0</v>
      </c>
      <c r="K81" s="420"/>
    </row>
    <row r="82" spans="1:11" s="484" customFormat="1" hidden="1" outlineLevel="1" x14ac:dyDescent="0.3">
      <c r="A82" s="499">
        <f>Распределение!B82</f>
        <v>0</v>
      </c>
      <c r="B82" s="499">
        <f>Распределение!L82</f>
        <v>0</v>
      </c>
      <c r="C82" s="674" t="str">
        <f>IF(A82=0,"0,00",IF('Состав ВТК'!P78=0,'Состав ВТК'!L78,'Состав ВТК'!P78))</f>
        <v>0,00</v>
      </c>
      <c r="D82" s="674" t="str">
        <f>IF(A82=0,"0,00",IF('Состав ВТК'!Q78=0,'Состав ВТК'!M78,'Состав ВТК'!Q78))</f>
        <v>0,00</v>
      </c>
      <c r="E82" s="500">
        <f>Распределение!N82</f>
        <v>0</v>
      </c>
      <c r="F82" s="500">
        <f>Распределение!M82</f>
        <v>0</v>
      </c>
      <c r="K82" s="420"/>
    </row>
    <row r="83" spans="1:11" s="484" customFormat="1" hidden="1" outlineLevel="1" x14ac:dyDescent="0.3">
      <c r="A83" s="499">
        <f>Распределение!B83</f>
        <v>0</v>
      </c>
      <c r="B83" s="499">
        <f>Распределение!L83</f>
        <v>0</v>
      </c>
      <c r="C83" s="674" t="str">
        <f>IF(A83=0,"0,00",IF('Состав ВТК'!P79=0,'Состав ВТК'!L79,'Состав ВТК'!P79))</f>
        <v>0,00</v>
      </c>
      <c r="D83" s="674" t="str">
        <f>IF(A83=0,"0,00",IF('Состав ВТК'!Q79=0,'Состав ВТК'!M79,'Состав ВТК'!Q79))</f>
        <v>0,00</v>
      </c>
      <c r="E83" s="500">
        <f>Распределение!N83</f>
        <v>0</v>
      </c>
      <c r="F83" s="500">
        <f>Распределение!M83</f>
        <v>0</v>
      </c>
      <c r="K83" s="420"/>
    </row>
    <row r="84" spans="1:11" s="484" customFormat="1" hidden="1" outlineLevel="1" x14ac:dyDescent="0.3">
      <c r="A84" s="499">
        <f>Распределение!B84</f>
        <v>0</v>
      </c>
      <c r="B84" s="499">
        <f>Распределение!L84</f>
        <v>0</v>
      </c>
      <c r="C84" s="674" t="str">
        <f>IF(A84=0,"0,00",IF('Состав ВТК'!P80=0,'Состав ВТК'!L80,'Состав ВТК'!P80))</f>
        <v>0,00</v>
      </c>
      <c r="D84" s="674" t="str">
        <f>IF(A84=0,"0,00",IF('Состав ВТК'!Q80=0,'Состав ВТК'!M80,'Состав ВТК'!Q80))</f>
        <v>0,00</v>
      </c>
      <c r="E84" s="500">
        <f>Распределение!N84</f>
        <v>0</v>
      </c>
      <c r="F84" s="500">
        <f>Распределение!M84</f>
        <v>0</v>
      </c>
      <c r="K84" s="420"/>
    </row>
    <row r="85" spans="1:11" s="484" customFormat="1" hidden="1" outlineLevel="1" x14ac:dyDescent="0.3">
      <c r="A85" s="499">
        <f>Распределение!B85</f>
        <v>0</v>
      </c>
      <c r="B85" s="499">
        <f>Распределение!L85</f>
        <v>0</v>
      </c>
      <c r="C85" s="674" t="str">
        <f>IF(A85=0,"0,00",IF('Состав ВТК'!P81=0,'Состав ВТК'!L81,'Состав ВТК'!P81))</f>
        <v>0,00</v>
      </c>
      <c r="D85" s="674" t="str">
        <f>IF(A85=0,"0,00",IF('Состав ВТК'!Q81=0,'Состав ВТК'!M81,'Состав ВТК'!Q81))</f>
        <v>0,00</v>
      </c>
      <c r="E85" s="500">
        <f>Распределение!N85</f>
        <v>0</v>
      </c>
      <c r="F85" s="500">
        <f>Распределение!M85</f>
        <v>0</v>
      </c>
      <c r="K85" s="420"/>
    </row>
    <row r="86" spans="1:11" s="484" customFormat="1" hidden="1" outlineLevel="1" x14ac:dyDescent="0.3">
      <c r="A86" s="499">
        <f>Распределение!B86</f>
        <v>0</v>
      </c>
      <c r="B86" s="499">
        <f>Распределение!L86</f>
        <v>0</v>
      </c>
      <c r="C86" s="674" t="str">
        <f>IF(A86=0,"0,00",IF('Состав ВТК'!P82=0,'Состав ВТК'!L82,'Состав ВТК'!P82))</f>
        <v>0,00</v>
      </c>
      <c r="D86" s="674" t="str">
        <f>IF(A86=0,"0,00",IF('Состав ВТК'!Q82=0,'Состав ВТК'!M82,'Состав ВТК'!Q82))</f>
        <v>0,00</v>
      </c>
      <c r="E86" s="500">
        <f>Распределение!N86</f>
        <v>0</v>
      </c>
      <c r="F86" s="500">
        <f>Распределение!M86</f>
        <v>0</v>
      </c>
      <c r="K86" s="420"/>
    </row>
    <row r="87" spans="1:11" s="484" customFormat="1" hidden="1" outlineLevel="1" x14ac:dyDescent="0.3">
      <c r="A87" s="499">
        <f>Распределение!B87</f>
        <v>0</v>
      </c>
      <c r="B87" s="499">
        <f>Распределение!L87</f>
        <v>0</v>
      </c>
      <c r="C87" s="674" t="str">
        <f>IF(A87=0,"0,00",IF('Состав ВТК'!P83=0,'Состав ВТК'!L83,'Состав ВТК'!P83))</f>
        <v>0,00</v>
      </c>
      <c r="D87" s="674" t="str">
        <f>IF(A87=0,"0,00",IF('Состав ВТК'!Q83=0,'Состав ВТК'!M83,'Состав ВТК'!Q83))</f>
        <v>0,00</v>
      </c>
      <c r="E87" s="500">
        <f>Распределение!N87</f>
        <v>0</v>
      </c>
      <c r="F87" s="500">
        <f>Распределение!M87</f>
        <v>0</v>
      </c>
      <c r="K87" s="420"/>
    </row>
    <row r="88" spans="1:11" s="484" customFormat="1" hidden="1" outlineLevel="1" x14ac:dyDescent="0.3">
      <c r="A88" s="499">
        <f>Распределение!B88</f>
        <v>0</v>
      </c>
      <c r="B88" s="499">
        <f>Распределение!L88</f>
        <v>0</v>
      </c>
      <c r="C88" s="674" t="str">
        <f>IF(A88=0,"0,00",IF('Состав ВТК'!P84=0,'Состав ВТК'!L84,'Состав ВТК'!P84))</f>
        <v>0,00</v>
      </c>
      <c r="D88" s="674" t="str">
        <f>IF(A88=0,"0,00",IF('Состав ВТК'!Q84=0,'Состав ВТК'!M84,'Состав ВТК'!Q84))</f>
        <v>0,00</v>
      </c>
      <c r="E88" s="500">
        <f>Распределение!N88</f>
        <v>0</v>
      </c>
      <c r="F88" s="500">
        <f>Распределение!M88</f>
        <v>0</v>
      </c>
      <c r="K88" s="420"/>
    </row>
    <row r="89" spans="1:11" s="484" customFormat="1" hidden="1" outlineLevel="1" x14ac:dyDescent="0.3">
      <c r="A89" s="499">
        <f>Распределение!B89</f>
        <v>0</v>
      </c>
      <c r="B89" s="499">
        <f>Распределение!L89</f>
        <v>0</v>
      </c>
      <c r="C89" s="674" t="str">
        <f>IF(A89=0,"0,00",IF('Состав ВТК'!P85=0,'Состав ВТК'!L85,'Состав ВТК'!P85))</f>
        <v>0,00</v>
      </c>
      <c r="D89" s="674" t="str">
        <f>IF(A89=0,"0,00",IF('Состав ВТК'!Q85=0,'Состав ВТК'!M85,'Состав ВТК'!Q85))</f>
        <v>0,00</v>
      </c>
      <c r="E89" s="500">
        <f>Распределение!N89</f>
        <v>0</v>
      </c>
      <c r="F89" s="500">
        <f>Распределение!M89</f>
        <v>0</v>
      </c>
      <c r="K89" s="420"/>
    </row>
    <row r="90" spans="1:11" s="484" customFormat="1" hidden="1" outlineLevel="1" x14ac:dyDescent="0.3">
      <c r="A90" s="499">
        <f>Распределение!B90</f>
        <v>0</v>
      </c>
      <c r="B90" s="499">
        <f>Распределение!L90</f>
        <v>0</v>
      </c>
      <c r="C90" s="674" t="str">
        <f>IF(A90=0,"0,00",IF('Состав ВТК'!P86=0,'Состав ВТК'!L86,'Состав ВТК'!P86))</f>
        <v>0,00</v>
      </c>
      <c r="D90" s="674" t="str">
        <f>IF(A90=0,"0,00",IF('Состав ВТК'!Q86=0,'Состав ВТК'!M86,'Состав ВТК'!Q86))</f>
        <v>0,00</v>
      </c>
      <c r="E90" s="500">
        <f>Распределение!N90</f>
        <v>0</v>
      </c>
      <c r="F90" s="500">
        <f>Распределение!M90</f>
        <v>0</v>
      </c>
      <c r="K90" s="420"/>
    </row>
    <row r="91" spans="1:11" s="484" customFormat="1" hidden="1" outlineLevel="1" x14ac:dyDescent="0.3">
      <c r="A91" s="499">
        <f>Распределение!B91</f>
        <v>0</v>
      </c>
      <c r="B91" s="499">
        <f>Распределение!L91</f>
        <v>0</v>
      </c>
      <c r="C91" s="674" t="str">
        <f>IF(A91=0,"0,00",IF('Состав ВТК'!P87=0,'Состав ВТК'!L87,'Состав ВТК'!P87))</f>
        <v>0,00</v>
      </c>
      <c r="D91" s="674" t="str">
        <f>IF(A91=0,"0,00",IF('Состав ВТК'!Q87=0,'Состав ВТК'!M87,'Состав ВТК'!Q87))</f>
        <v>0,00</v>
      </c>
      <c r="E91" s="500">
        <f>Распределение!N91</f>
        <v>0</v>
      </c>
      <c r="F91" s="500">
        <f>Распределение!M91</f>
        <v>0</v>
      </c>
      <c r="K91" s="420"/>
    </row>
    <row r="92" spans="1:11" s="484" customFormat="1" hidden="1" outlineLevel="1" x14ac:dyDescent="0.3">
      <c r="A92" s="499">
        <f>Распределение!B92</f>
        <v>0</v>
      </c>
      <c r="B92" s="499">
        <f>Распределение!L92</f>
        <v>0</v>
      </c>
      <c r="C92" s="674" t="str">
        <f>IF(A92=0,"0,00",IF('Состав ВТК'!P88=0,'Состав ВТК'!L88,'Состав ВТК'!P88))</f>
        <v>0,00</v>
      </c>
      <c r="D92" s="674" t="str">
        <f>IF(A92=0,"0,00",IF('Состав ВТК'!Q88=0,'Состав ВТК'!M88,'Состав ВТК'!Q88))</f>
        <v>0,00</v>
      </c>
      <c r="E92" s="500">
        <f>Распределение!N92</f>
        <v>0</v>
      </c>
      <c r="F92" s="500">
        <f>Распределение!M92</f>
        <v>0</v>
      </c>
      <c r="K92" s="420"/>
    </row>
    <row r="93" spans="1:11" s="484" customFormat="1" hidden="1" outlineLevel="1" x14ac:dyDescent="0.3">
      <c r="A93" s="499">
        <f>Распределение!B93</f>
        <v>0</v>
      </c>
      <c r="B93" s="499">
        <f>Распределение!L93</f>
        <v>0</v>
      </c>
      <c r="C93" s="674" t="str">
        <f>IF(A93=0,"0,00",IF('Состав ВТК'!P89=0,'Состав ВТК'!L89,'Состав ВТК'!P89))</f>
        <v>0,00</v>
      </c>
      <c r="D93" s="674" t="str">
        <f>IF(A93=0,"0,00",IF('Состав ВТК'!Q89=0,'Состав ВТК'!M89,'Состав ВТК'!Q89))</f>
        <v>0,00</v>
      </c>
      <c r="E93" s="500">
        <f>Распределение!N93</f>
        <v>0</v>
      </c>
      <c r="F93" s="500">
        <f>Распределение!M93</f>
        <v>0</v>
      </c>
      <c r="K93" s="420"/>
    </row>
    <row r="94" spans="1:11" s="484" customFormat="1" hidden="1" outlineLevel="1" x14ac:dyDescent="0.3">
      <c r="A94" s="499">
        <f>Распределение!B94</f>
        <v>0</v>
      </c>
      <c r="B94" s="499">
        <f>Распределение!L94</f>
        <v>0</v>
      </c>
      <c r="C94" s="674" t="str">
        <f>IF(A94=0,"0,00",IF('Состав ВТК'!P90=0,'Состав ВТК'!L90,'Состав ВТК'!P90))</f>
        <v>0,00</v>
      </c>
      <c r="D94" s="674" t="str">
        <f>IF(A94=0,"0,00",IF('Состав ВТК'!Q90=0,'Состав ВТК'!M90,'Состав ВТК'!Q90))</f>
        <v>0,00</v>
      </c>
      <c r="E94" s="500">
        <f>Распределение!N94</f>
        <v>0</v>
      </c>
      <c r="F94" s="500">
        <f>Распределение!M94</f>
        <v>0</v>
      </c>
      <c r="K94" s="420"/>
    </row>
    <row r="95" spans="1:11" s="484" customFormat="1" hidden="1" outlineLevel="1" x14ac:dyDescent="0.3">
      <c r="A95" s="499">
        <f>Распределение!B95</f>
        <v>0</v>
      </c>
      <c r="B95" s="499">
        <f>Распределение!L95</f>
        <v>0</v>
      </c>
      <c r="C95" s="674" t="str">
        <f>IF(A95=0,"0,00",IF('Состав ВТК'!P91=0,'Состав ВТК'!L91,'Состав ВТК'!P91))</f>
        <v>0,00</v>
      </c>
      <c r="D95" s="674" t="str">
        <f>IF(A95=0,"0,00",IF('Состав ВТК'!Q91=0,'Состав ВТК'!M91,'Состав ВТК'!Q91))</f>
        <v>0,00</v>
      </c>
      <c r="E95" s="500">
        <f>Распределение!N95</f>
        <v>0</v>
      </c>
      <c r="F95" s="500">
        <f>Распределение!M95</f>
        <v>0</v>
      </c>
      <c r="K95" s="420"/>
    </row>
    <row r="96" spans="1:11" s="484" customFormat="1" hidden="1" outlineLevel="1" x14ac:dyDescent="0.3">
      <c r="A96" s="499">
        <f>Распределение!B96</f>
        <v>0</v>
      </c>
      <c r="B96" s="499">
        <f>Распределение!L96</f>
        <v>0</v>
      </c>
      <c r="C96" s="674" t="str">
        <f>IF(A96=0,"0,00",IF('Состав ВТК'!P92=0,'Состав ВТК'!L92,'Состав ВТК'!P92))</f>
        <v>0,00</v>
      </c>
      <c r="D96" s="674" t="str">
        <f>IF(A96=0,"0,00",IF('Состав ВТК'!Q92=0,'Состав ВТК'!M92,'Состав ВТК'!Q92))</f>
        <v>0,00</v>
      </c>
      <c r="E96" s="500">
        <f>Распределение!N96</f>
        <v>0</v>
      </c>
      <c r="F96" s="500">
        <f>Распределение!M96</f>
        <v>0</v>
      </c>
      <c r="K96" s="420"/>
    </row>
    <row r="97" spans="1:11" s="484" customFormat="1" hidden="1" outlineLevel="1" x14ac:dyDescent="0.3">
      <c r="A97" s="499">
        <f>Распределение!B97</f>
        <v>0</v>
      </c>
      <c r="B97" s="499">
        <f>Распределение!L97</f>
        <v>0</v>
      </c>
      <c r="C97" s="674" t="str">
        <f>IF(A97=0,"0,00",IF('Состав ВТК'!P93=0,'Состав ВТК'!L93,'Состав ВТК'!P93))</f>
        <v>0,00</v>
      </c>
      <c r="D97" s="674" t="str">
        <f>IF(A97=0,"0,00",IF('Состав ВТК'!Q93=0,'Состав ВТК'!M93,'Состав ВТК'!Q93))</f>
        <v>0,00</v>
      </c>
      <c r="E97" s="500">
        <f>Распределение!N97</f>
        <v>0</v>
      </c>
      <c r="F97" s="500">
        <f>Распределение!M97</f>
        <v>0</v>
      </c>
      <c r="K97" s="420"/>
    </row>
    <row r="98" spans="1:11" s="484" customFormat="1" hidden="1" outlineLevel="1" x14ac:dyDescent="0.3">
      <c r="A98" s="499">
        <f>Распределение!B98</f>
        <v>0</v>
      </c>
      <c r="B98" s="499">
        <f>Распределение!L98</f>
        <v>0</v>
      </c>
      <c r="C98" s="674" t="str">
        <f>IF(A98=0,"0,00",IF('Состав ВТК'!P94=0,'Состав ВТК'!L94,'Состав ВТК'!P94))</f>
        <v>0,00</v>
      </c>
      <c r="D98" s="674" t="str">
        <f>IF(A98=0,"0,00",IF('Состав ВТК'!Q94=0,'Состав ВТК'!M94,'Состав ВТК'!Q94))</f>
        <v>0,00</v>
      </c>
      <c r="E98" s="500">
        <f>Распределение!N98</f>
        <v>0</v>
      </c>
      <c r="F98" s="500">
        <f>Распределение!M98</f>
        <v>0</v>
      </c>
      <c r="K98" s="420"/>
    </row>
    <row r="99" spans="1:11" s="484" customFormat="1" hidden="1" outlineLevel="1" x14ac:dyDescent="0.3">
      <c r="A99" s="499">
        <f>Распределение!B99</f>
        <v>0</v>
      </c>
      <c r="B99" s="499">
        <f>Распределение!L99</f>
        <v>0</v>
      </c>
      <c r="C99" s="674" t="str">
        <f>IF(A99=0,"0,00",IF('Состав ВТК'!P95=0,'Состав ВТК'!L95,'Состав ВТК'!P95))</f>
        <v>0,00</v>
      </c>
      <c r="D99" s="674" t="str">
        <f>IF(A99=0,"0,00",IF('Состав ВТК'!Q95=0,'Состав ВТК'!M95,'Состав ВТК'!Q95))</f>
        <v>0,00</v>
      </c>
      <c r="E99" s="500">
        <f>Распределение!N99</f>
        <v>0</v>
      </c>
      <c r="F99" s="500">
        <f>Распределение!M99</f>
        <v>0</v>
      </c>
      <c r="K99" s="420"/>
    </row>
    <row r="100" spans="1:11" s="484" customFormat="1" hidden="1" outlineLevel="1" x14ac:dyDescent="0.3">
      <c r="A100" s="499">
        <f>Распределение!B100</f>
        <v>0</v>
      </c>
      <c r="B100" s="499">
        <f>Распределение!L100</f>
        <v>0</v>
      </c>
      <c r="C100" s="674" t="str">
        <f>IF(A100=0,"0,00",IF('Состав ВТК'!P96=0,'Состав ВТК'!L96,'Состав ВТК'!P96))</f>
        <v>0,00</v>
      </c>
      <c r="D100" s="674" t="str">
        <f>IF(A100=0,"0,00",IF('Состав ВТК'!Q96=0,'Состав ВТК'!M96,'Состав ВТК'!Q96))</f>
        <v>0,00</v>
      </c>
      <c r="E100" s="500">
        <f>Распределение!N100</f>
        <v>0</v>
      </c>
      <c r="F100" s="500">
        <f>Распределение!M100</f>
        <v>0</v>
      </c>
      <c r="K100" s="420"/>
    </row>
    <row r="101" spans="1:11" s="484" customFormat="1" hidden="1" outlineLevel="1" x14ac:dyDescent="0.3">
      <c r="A101" s="499">
        <f>Распределение!B101</f>
        <v>0</v>
      </c>
      <c r="B101" s="499">
        <f>Распределение!L101</f>
        <v>0</v>
      </c>
      <c r="C101" s="674" t="str">
        <f>IF(A101=0,"0,00",IF('Состав ВТК'!P97=0,'Состав ВТК'!L97,'Состав ВТК'!P97))</f>
        <v>0,00</v>
      </c>
      <c r="D101" s="674" t="str">
        <f>IF(A101=0,"0,00",IF('Состав ВТК'!Q97=0,'Состав ВТК'!M97,'Состав ВТК'!Q97))</f>
        <v>0,00</v>
      </c>
      <c r="E101" s="500">
        <f>Распределение!N101</f>
        <v>0</v>
      </c>
      <c r="F101" s="500">
        <f>Распределение!M101</f>
        <v>0</v>
      </c>
      <c r="K101" s="420"/>
    </row>
    <row r="102" spans="1:11" s="484" customFormat="1" hidden="1" outlineLevel="1" x14ac:dyDescent="0.3">
      <c r="A102" s="499">
        <f>Распределение!B102</f>
        <v>0</v>
      </c>
      <c r="B102" s="499">
        <f>Распределение!L102</f>
        <v>0</v>
      </c>
      <c r="C102" s="674" t="str">
        <f>IF(A102=0,"0,00",IF('Состав ВТК'!P98=0,'Состав ВТК'!L98,'Состав ВТК'!P98))</f>
        <v>0,00</v>
      </c>
      <c r="D102" s="674" t="str">
        <f>IF(A102=0,"0,00",IF('Состав ВТК'!Q98=0,'Состав ВТК'!M98,'Состав ВТК'!Q98))</f>
        <v>0,00</v>
      </c>
      <c r="E102" s="500">
        <f>Распределение!N102</f>
        <v>0</v>
      </c>
      <c r="F102" s="500">
        <f>Распределение!M102</f>
        <v>0</v>
      </c>
      <c r="K102" s="420"/>
    </row>
    <row r="103" spans="1:11" s="484" customFormat="1" hidden="1" outlineLevel="1" x14ac:dyDescent="0.3">
      <c r="A103" s="499">
        <f>Распределение!B103</f>
        <v>0</v>
      </c>
      <c r="B103" s="499">
        <f>Распределение!L103</f>
        <v>0</v>
      </c>
      <c r="C103" s="674" t="str">
        <f>IF(A103=0,"0,00",IF('Состав ВТК'!P99=0,'Состав ВТК'!L99,'Состав ВТК'!P99))</f>
        <v>0,00</v>
      </c>
      <c r="D103" s="674" t="str">
        <f>IF(A103=0,"0,00",IF('Состав ВТК'!Q99=0,'Состав ВТК'!M99,'Состав ВТК'!Q99))</f>
        <v>0,00</v>
      </c>
      <c r="E103" s="500">
        <f>Распределение!N103</f>
        <v>0</v>
      </c>
      <c r="F103" s="500">
        <f>Распределение!M103</f>
        <v>0</v>
      </c>
      <c r="K103" s="420"/>
    </row>
    <row r="104" spans="1:11" s="484" customFormat="1" hidden="1" outlineLevel="1" x14ac:dyDescent="0.3">
      <c r="A104" s="499">
        <f>Распределение!B104</f>
        <v>0</v>
      </c>
      <c r="B104" s="499">
        <f>Распределение!L104</f>
        <v>0</v>
      </c>
      <c r="C104" s="674" t="str">
        <f>IF(A104=0,"0,00",IF('Состав ВТК'!P100=0,'Состав ВТК'!L100,'Состав ВТК'!P100))</f>
        <v>0,00</v>
      </c>
      <c r="D104" s="674" t="str">
        <f>IF(A104=0,"0,00",IF('Состав ВТК'!Q100=0,'Состав ВТК'!M100,'Состав ВТК'!Q100))</f>
        <v>0,00</v>
      </c>
      <c r="E104" s="500">
        <f>Распределение!N104</f>
        <v>0</v>
      </c>
      <c r="F104" s="500">
        <f>Распределение!M104</f>
        <v>0</v>
      </c>
      <c r="K104" s="420"/>
    </row>
    <row r="105" spans="1:11" s="484" customFormat="1" hidden="1" outlineLevel="1" x14ac:dyDescent="0.3">
      <c r="A105" s="499">
        <f>Распределение!B105</f>
        <v>0</v>
      </c>
      <c r="B105" s="499">
        <f>Распределение!L105</f>
        <v>0</v>
      </c>
      <c r="C105" s="674" t="str">
        <f>IF(A105=0,"0,00",IF('Состав ВТК'!P101=0,'Состав ВТК'!L101,'Состав ВТК'!P101))</f>
        <v>0,00</v>
      </c>
      <c r="D105" s="674" t="str">
        <f>IF(A105=0,"0,00",IF('Состав ВТК'!Q101=0,'Состав ВТК'!M101,'Состав ВТК'!Q101))</f>
        <v>0,00</v>
      </c>
      <c r="E105" s="500">
        <f>Распределение!N105</f>
        <v>0</v>
      </c>
      <c r="F105" s="500">
        <f>Распределение!M105</f>
        <v>0</v>
      </c>
      <c r="K105" s="420"/>
    </row>
    <row r="106" spans="1:11" s="484" customFormat="1" hidden="1" outlineLevel="1" x14ac:dyDescent="0.3">
      <c r="A106" s="499">
        <f>Распределение!B106</f>
        <v>0</v>
      </c>
      <c r="B106" s="499">
        <f>Распределение!L106</f>
        <v>0</v>
      </c>
      <c r="C106" s="674" t="str">
        <f>IF(A106=0,"0,00",IF('Состав ВТК'!P102=0,'Состав ВТК'!L102,'Состав ВТК'!P102))</f>
        <v>0,00</v>
      </c>
      <c r="D106" s="674" t="str">
        <f>IF(A106=0,"0,00",IF('Состав ВТК'!Q102=0,'Состав ВТК'!M102,'Состав ВТК'!Q102))</f>
        <v>0,00</v>
      </c>
      <c r="E106" s="500">
        <f>Распределение!N106</f>
        <v>0</v>
      </c>
      <c r="F106" s="500">
        <f>Распределение!M106</f>
        <v>0</v>
      </c>
      <c r="K106" s="420"/>
    </row>
    <row r="107" spans="1:11" s="484" customFormat="1" hidden="1" outlineLevel="1" x14ac:dyDescent="0.3">
      <c r="A107" s="499">
        <f>Распределение!B107</f>
        <v>0</v>
      </c>
      <c r="B107" s="499">
        <f>Распределение!L107</f>
        <v>0</v>
      </c>
      <c r="C107" s="674" t="str">
        <f>IF(A107=0,"0,00",IF('Состав ВТК'!P103=0,'Состав ВТК'!L103,'Состав ВТК'!P103))</f>
        <v>0,00</v>
      </c>
      <c r="D107" s="674" t="str">
        <f>IF(A107=0,"0,00",IF('Состав ВТК'!Q103=0,'Состав ВТК'!M103,'Состав ВТК'!Q103))</f>
        <v>0,00</v>
      </c>
      <c r="E107" s="500">
        <f>Распределение!N107</f>
        <v>0</v>
      </c>
      <c r="F107" s="500">
        <f>Распределение!M107</f>
        <v>0</v>
      </c>
      <c r="K107" s="420"/>
    </row>
    <row r="108" spans="1:11" s="484" customFormat="1" hidden="1" outlineLevel="1" x14ac:dyDescent="0.3">
      <c r="A108" s="499">
        <f>Распределение!B108</f>
        <v>0</v>
      </c>
      <c r="B108" s="499">
        <f>Распределение!L108</f>
        <v>0</v>
      </c>
      <c r="C108" s="674" t="str">
        <f>IF(A108=0,"0,00",IF('Состав ВТК'!P104=0,'Состав ВТК'!L104,'Состав ВТК'!P104))</f>
        <v>0,00</v>
      </c>
      <c r="D108" s="674" t="str">
        <f>IF(A108=0,"0,00",IF('Состав ВТК'!Q104=0,'Состав ВТК'!M104,'Состав ВТК'!Q104))</f>
        <v>0,00</v>
      </c>
      <c r="E108" s="500">
        <f>Распределение!N108</f>
        <v>0</v>
      </c>
      <c r="F108" s="500">
        <f>Распределение!M108</f>
        <v>0</v>
      </c>
      <c r="K108" s="420"/>
    </row>
    <row r="109" spans="1:11" s="484" customFormat="1" hidden="1" outlineLevel="1" x14ac:dyDescent="0.3">
      <c r="A109" s="499">
        <f>Распределение!B109</f>
        <v>0</v>
      </c>
      <c r="B109" s="499">
        <f>Распределение!L109</f>
        <v>0</v>
      </c>
      <c r="C109" s="674" t="str">
        <f>IF(A109=0,"0,00",IF('Состав ВТК'!P105=0,'Состав ВТК'!L105,'Состав ВТК'!P105))</f>
        <v>0,00</v>
      </c>
      <c r="D109" s="674" t="str">
        <f>IF(A109=0,"0,00",IF('Состав ВТК'!Q105=0,'Состав ВТК'!M105,'Состав ВТК'!Q105))</f>
        <v>0,00</v>
      </c>
      <c r="E109" s="500">
        <f>Распределение!N109</f>
        <v>0</v>
      </c>
      <c r="F109" s="500">
        <f>Распределение!M109</f>
        <v>0</v>
      </c>
      <c r="K109" s="420"/>
    </row>
    <row r="110" spans="1:11" s="484" customFormat="1" hidden="1" outlineLevel="1" x14ac:dyDescent="0.3">
      <c r="A110" s="499">
        <f>Распределение!B110</f>
        <v>0</v>
      </c>
      <c r="B110" s="499">
        <f>Распределение!L110</f>
        <v>0</v>
      </c>
      <c r="C110" s="674" t="str">
        <f>IF(A110=0,"0,00",IF('Состав ВТК'!P106=0,'Состав ВТК'!L106,'Состав ВТК'!P106))</f>
        <v>0,00</v>
      </c>
      <c r="D110" s="674" t="str">
        <f>IF(A110=0,"0,00",IF('Состав ВТК'!Q106=0,'Состав ВТК'!M106,'Состав ВТК'!Q106))</f>
        <v>0,00</v>
      </c>
      <c r="E110" s="500">
        <f>Распределение!N110</f>
        <v>0</v>
      </c>
      <c r="F110" s="500">
        <f>Распределение!M110</f>
        <v>0</v>
      </c>
      <c r="K110" s="420"/>
    </row>
    <row r="111" spans="1:11" s="484" customFormat="1" hidden="1" outlineLevel="1" x14ac:dyDescent="0.3">
      <c r="A111" s="499">
        <f>Распределение!B111</f>
        <v>0</v>
      </c>
      <c r="B111" s="499">
        <f>Распределение!L111</f>
        <v>0</v>
      </c>
      <c r="C111" s="674" t="str">
        <f>IF(A111=0,"0,00",IF('Состав ВТК'!P107=0,'Состав ВТК'!L107,'Состав ВТК'!P107))</f>
        <v>0,00</v>
      </c>
      <c r="D111" s="674" t="str">
        <f>IF(A111=0,"0,00",IF('Состав ВТК'!Q107=0,'Состав ВТК'!M107,'Состав ВТК'!Q107))</f>
        <v>0,00</v>
      </c>
      <c r="E111" s="500">
        <f>Распределение!N111</f>
        <v>0</v>
      </c>
      <c r="F111" s="500">
        <f>Распределение!M111</f>
        <v>0</v>
      </c>
      <c r="K111" s="420"/>
    </row>
    <row r="112" spans="1:11" s="484" customFormat="1" hidden="1" outlineLevel="1" x14ac:dyDescent="0.3">
      <c r="A112" s="675">
        <f>Распределение!B112</f>
        <v>0</v>
      </c>
      <c r="B112" s="675">
        <f>Распределение!L112</f>
        <v>0</v>
      </c>
      <c r="C112" s="676" t="str">
        <f>IF(A112=0,"0,00",IF('Состав ВТК'!P108=0,'Состав ВТК'!L108,'Состав ВТК'!P108))</f>
        <v>0,00</v>
      </c>
      <c r="D112" s="676" t="str">
        <f>IF(A112=0,"0,00",IF('Состав ВТК'!Q108=0,'Состав ВТК'!M108,'Состав ВТК'!Q108))</f>
        <v>0,00</v>
      </c>
      <c r="E112" s="677">
        <f>Распределение!N112</f>
        <v>0</v>
      </c>
      <c r="F112" s="677">
        <f>Распределение!M112</f>
        <v>0</v>
      </c>
      <c r="K112" s="678"/>
    </row>
    <row r="113" spans="1:11" s="484" customFormat="1" hidden="1" x14ac:dyDescent="0.3">
      <c r="A113" s="675">
        <f>Распределение!B113</f>
        <v>0</v>
      </c>
      <c r="B113" s="675">
        <f>Распределение!L113</f>
        <v>0</v>
      </c>
      <c r="C113" s="676" t="str">
        <f>IF(A113=0,"0,00",IF('Состав ВТК'!P109=0,'Состав ВТК'!L109,'Состав ВТК'!P109))</f>
        <v>0,00</v>
      </c>
      <c r="D113" s="676" t="str">
        <f>IF(A113=0,"0,00",IF('Состав ВТК'!Q109=0,'Состав ВТК'!M109,'Состав ВТК'!Q109))</f>
        <v>0,00</v>
      </c>
      <c r="E113" s="677">
        <f>Распределение!N113</f>
        <v>0</v>
      </c>
      <c r="F113" s="677">
        <f>Распределение!M113</f>
        <v>0</v>
      </c>
      <c r="K113" s="678"/>
    </row>
    <row r="114" spans="1:11" s="484" customFormat="1" x14ac:dyDescent="0.3">
      <c r="A114" s="482"/>
      <c r="B114" s="483"/>
      <c r="C114" s="672"/>
      <c r="D114" s="672"/>
      <c r="E114" s="483"/>
      <c r="F114" s="483"/>
    </row>
    <row r="115" spans="1:11" x14ac:dyDescent="0.3">
      <c r="E115" s="24"/>
    </row>
    <row r="116" spans="1:11" ht="20.25" x14ac:dyDescent="0.3">
      <c r="A116" s="501" t="s">
        <v>274</v>
      </c>
      <c r="E116" s="897" t="str">
        <f>IFERROR(INDEX('Состав ВТК'!$1:$1048576,MATCH($A$116,'Состав ВТК'!J:J,0),MATCH($E$117,'Состав ВТК'!7:7,0)),"---")</f>
        <v>---</v>
      </c>
      <c r="F116" s="897"/>
    </row>
    <row r="117" spans="1:11" x14ac:dyDescent="0.3">
      <c r="A117" s="502"/>
      <c r="E117" s="898" t="s">
        <v>2</v>
      </c>
      <c r="F117" s="898"/>
    </row>
    <row r="118" spans="1:11" ht="20.25" x14ac:dyDescent="0.3">
      <c r="A118" s="501" t="s">
        <v>191</v>
      </c>
      <c r="E118" s="897" t="str">
        <f>Титул!$B$10</f>
        <v>-</v>
      </c>
      <c r="F118" s="897"/>
    </row>
    <row r="119" spans="1:11" x14ac:dyDescent="0.3">
      <c r="B119" s="491"/>
      <c r="C119" s="491"/>
      <c r="D119" s="491"/>
      <c r="E119" s="898" t="s">
        <v>2</v>
      </c>
      <c r="F119" s="898"/>
    </row>
    <row r="120" spans="1:11" x14ac:dyDescent="0.3">
      <c r="A120" s="516" t="s">
        <v>415</v>
      </c>
    </row>
    <row r="121" spans="1:11" ht="20.25" x14ac:dyDescent="0.3">
      <c r="A121" s="912" t="s">
        <v>414</v>
      </c>
      <c r="B121" s="912"/>
      <c r="C121" s="897"/>
      <c r="D121" s="897"/>
      <c r="E121" s="721"/>
      <c r="F121" s="758" t="s">
        <v>920</v>
      </c>
    </row>
  </sheetData>
  <sheetProtection algorithmName="SHA-512" hashValue="C2G22pW8AVXUt5kmOpbkdAaHXivF2xlHemrw3UVF77phfDHqd2wNldEfklkGxx7An2c2rA+Vr6fzD0KAeQFEAQ==" saltValue="pEk9r9FOS96cgQqrCWF25Q==" spinCount="100000" sheet="1" formatCells="0" formatColumns="0" formatRows="0" insertRows="0" deleteRows="0" sort="0" autoFilter="0" pivotTables="0"/>
  <mergeCells count="18">
    <mergeCell ref="A121:B121"/>
    <mergeCell ref="C121:D121"/>
    <mergeCell ref="B4:F4"/>
    <mergeCell ref="E118:F118"/>
    <mergeCell ref="E119:F119"/>
    <mergeCell ref="A2:F2"/>
    <mergeCell ref="B7:F7"/>
    <mergeCell ref="E116:F116"/>
    <mergeCell ref="E117:F117"/>
    <mergeCell ref="A10:A11"/>
    <mergeCell ref="B10:B11"/>
    <mergeCell ref="C10:D10"/>
    <mergeCell ref="F10:F11"/>
    <mergeCell ref="E10:E11"/>
    <mergeCell ref="A12:D12"/>
    <mergeCell ref="B5:F5"/>
    <mergeCell ref="B6:F6"/>
    <mergeCell ref="B8:F8"/>
  </mergeCells>
  <printOptions horizontalCentered="1"/>
  <pageMargins left="0.23622047244094491" right="0.23622047244094491" top="0.15748031496062992" bottom="0.15748031496062992" header="0" footer="0"/>
  <pageSetup paperSize="9" scale="76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5"/>
  <sheetViews>
    <sheetView workbookViewId="0">
      <selection activeCell="B7" sqref="B7:F7"/>
    </sheetView>
  </sheetViews>
  <sheetFormatPr defaultRowHeight="15" x14ac:dyDescent="0.25"/>
  <cols>
    <col min="1" max="1" width="106.5703125" style="1" customWidth="1"/>
    <col min="2" max="16384" width="9.140625" style="1"/>
  </cols>
  <sheetData>
    <row r="2" spans="1:1" ht="94.5" customHeight="1" x14ac:dyDescent="0.25">
      <c r="A2" s="696" t="s">
        <v>668</v>
      </c>
    </row>
    <row r="5" spans="1:1" ht="177" customHeight="1" x14ac:dyDescent="0.25">
      <c r="A5" s="697" t="s">
        <v>669</v>
      </c>
    </row>
  </sheetData>
  <sheetProtection password="CF98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1">
    <tabColor theme="0" tint="-0.499984740745262"/>
  </sheetPr>
  <dimension ref="A1:AE356"/>
  <sheetViews>
    <sheetView zoomScale="70" zoomScaleNormal="70" workbookViewId="0">
      <pane xSplit="6" ySplit="15" topLeftCell="G22" activePane="bottomRight" state="frozen"/>
      <selection activeCell="B7" sqref="B7:F7"/>
      <selection pane="topRight" activeCell="B7" sqref="B7:F7"/>
      <selection pane="bottomLeft" activeCell="B7" sqref="B7:F7"/>
      <selection pane="bottomRight" activeCell="H26" sqref="H26"/>
    </sheetView>
  </sheetViews>
  <sheetFormatPr defaultRowHeight="15" x14ac:dyDescent="0.25"/>
  <cols>
    <col min="1" max="1" width="44.5703125" style="1" customWidth="1"/>
    <col min="2" max="2" width="30.140625" style="1" customWidth="1"/>
    <col min="3" max="4" width="12.85546875" style="1" customWidth="1"/>
    <col min="5" max="5" width="13.7109375" style="1" customWidth="1"/>
    <col min="6" max="6" width="13" style="1" bestFit="1" customWidth="1"/>
    <col min="7" max="7" width="16" style="1" customWidth="1"/>
    <col min="8" max="8" width="18.5703125" style="1" bestFit="1" customWidth="1"/>
    <col min="9" max="9" width="14" style="1" customWidth="1"/>
    <col min="10" max="10" width="14.85546875" style="1" customWidth="1"/>
    <col min="11" max="13" width="14.28515625" style="1" customWidth="1"/>
    <col min="14" max="14" width="17.140625" style="1" customWidth="1"/>
    <col min="15" max="15" width="18.7109375" style="1" customWidth="1"/>
    <col min="16" max="16" width="13.85546875" style="1" customWidth="1"/>
    <col min="17" max="17" width="15.28515625" style="1" customWidth="1"/>
    <col min="18" max="19" width="13.85546875" style="1" customWidth="1"/>
    <col min="20" max="20" width="13.42578125" style="1" customWidth="1"/>
    <col min="21" max="21" width="12.28515625" style="1" customWidth="1"/>
    <col min="22" max="22" width="11.85546875" style="1" customWidth="1"/>
    <col min="23" max="23" width="15.140625" style="1" customWidth="1"/>
    <col min="24" max="24" width="9" style="1" bestFit="1" customWidth="1"/>
    <col min="25" max="25" width="9.5703125" style="1" customWidth="1"/>
    <col min="26" max="26" width="6" style="1" bestFit="1" customWidth="1"/>
    <col min="27" max="27" width="8.5703125" style="1" customWidth="1"/>
    <col min="28" max="28" width="16.7109375" style="1" customWidth="1"/>
    <col min="29" max="29" width="13" style="1" bestFit="1" customWidth="1"/>
    <col min="30" max="30" width="13.140625" style="1" bestFit="1" customWidth="1"/>
    <col min="31" max="31" width="13" style="1" bestFit="1" customWidth="1"/>
    <col min="32" max="16384" width="9.140625" style="1"/>
  </cols>
  <sheetData>
    <row r="1" spans="1:31" ht="52.5" customHeight="1" thickBot="1" x14ac:dyDescent="0.3">
      <c r="J1" s="913" t="s">
        <v>210</v>
      </c>
      <c r="K1" s="914"/>
      <c r="L1" s="915"/>
      <c r="M1" s="913" t="s">
        <v>216</v>
      </c>
      <c r="N1" s="914"/>
      <c r="O1" s="915"/>
    </row>
    <row r="2" spans="1:31" ht="93.75" customHeight="1" thickBot="1" x14ac:dyDescent="0.3">
      <c r="A2" s="200" t="s">
        <v>57</v>
      </c>
      <c r="B2" s="936" t="s">
        <v>236</v>
      </c>
      <c r="C2" s="937"/>
      <c r="D2" s="937"/>
      <c r="E2" s="938"/>
      <c r="F2" s="933" t="s">
        <v>672</v>
      </c>
      <c r="G2" s="934"/>
      <c r="H2" s="935"/>
      <c r="I2" s="201" t="s">
        <v>35</v>
      </c>
      <c r="J2" s="202" t="s">
        <v>43</v>
      </c>
      <c r="K2" s="203" t="s">
        <v>44</v>
      </c>
      <c r="L2" s="204" t="s">
        <v>129</v>
      </c>
      <c r="M2" s="202" t="s">
        <v>43</v>
      </c>
      <c r="N2" s="203" t="s">
        <v>44</v>
      </c>
      <c r="O2" s="204" t="s">
        <v>129</v>
      </c>
      <c r="P2" s="205" t="s">
        <v>45</v>
      </c>
      <c r="Q2" s="206" t="s">
        <v>46</v>
      </c>
      <c r="R2" s="206" t="s">
        <v>47</v>
      </c>
      <c r="S2" s="207"/>
      <c r="T2" s="208" t="s">
        <v>48</v>
      </c>
      <c r="U2" s="208" t="s">
        <v>49</v>
      </c>
      <c r="V2" s="208" t="s">
        <v>229</v>
      </c>
      <c r="W2" s="208" t="s">
        <v>50</v>
      </c>
      <c r="AC2" s="209" t="s">
        <v>51</v>
      </c>
      <c r="AD2" s="210" t="e">
        <f>T11</f>
        <v>#VALUE!</v>
      </c>
      <c r="AE2" s="210" t="e">
        <f>I11</f>
        <v>#VALUE!</v>
      </c>
    </row>
    <row r="3" spans="1:31" ht="42.75" customHeight="1" thickBot="1" x14ac:dyDescent="0.3">
      <c r="A3" s="211" t="str">
        <f>Титул!$B$13</f>
        <v>-</v>
      </c>
      <c r="B3" s="212" t="s">
        <v>91</v>
      </c>
      <c r="C3" s="213" t="s">
        <v>51</v>
      </c>
      <c r="D3" s="213" t="s">
        <v>52</v>
      </c>
      <c r="E3" s="214" t="s">
        <v>69</v>
      </c>
      <c r="F3" s="215"/>
      <c r="G3" s="215"/>
      <c r="H3" s="216">
        <f>Расценка!$R$3</f>
        <v>104100</v>
      </c>
      <c r="I3" s="217" t="s">
        <v>51</v>
      </c>
      <c r="J3" s="451">
        <v>2</v>
      </c>
      <c r="K3" s="452">
        <v>0.5</v>
      </c>
      <c r="L3" s="218">
        <f>IF('Состав ВТК'!$G$4=0%,K3+K5,K3)</f>
        <v>0.5</v>
      </c>
      <c r="M3" s="451">
        <v>2</v>
      </c>
      <c r="N3" s="452">
        <v>0.5</v>
      </c>
      <c r="O3" s="218">
        <f>IF('Состав ВТК'!$G$4=0%,N3+N5,N3)</f>
        <v>0.5</v>
      </c>
      <c r="P3" s="219">
        <f>ROUND(IF($J$1=Титул!$B$7,$H$3*M3,$H$3*J3),2)</f>
        <v>208200</v>
      </c>
      <c r="Q3" s="220">
        <f>ROUND(IF($J$1=Титул!$B$7,L3*P3,O3*P3),2)</f>
        <v>104100</v>
      </c>
      <c r="R3" s="221">
        <f>Q3/Q6</f>
        <v>0.64516129032258063</v>
      </c>
      <c r="S3" s="222"/>
      <c r="T3" s="453">
        <v>0.1</v>
      </c>
      <c r="U3" s="454">
        <v>0.1</v>
      </c>
      <c r="V3" s="455">
        <v>0.1</v>
      </c>
      <c r="W3" s="223">
        <f>SUM(T3:V3)</f>
        <v>0.30000000000000004</v>
      </c>
      <c r="AC3" s="209" t="s">
        <v>52</v>
      </c>
      <c r="AD3" s="210" t="e">
        <f>U11</f>
        <v>#VALUE!</v>
      </c>
      <c r="AE3" s="210" t="e">
        <f>J11</f>
        <v>#VALUE!</v>
      </c>
    </row>
    <row r="4" spans="1:31" ht="46.5" customHeight="1" thickBot="1" x14ac:dyDescent="0.3">
      <c r="B4" s="224" t="e">
        <f>SUM(C4:E4)</f>
        <v>#DIV/0!</v>
      </c>
      <c r="C4" s="225" t="e">
        <f>'Расчет участников НИР'!T14/'Расчет участников НИР'!S14</f>
        <v>#DIV/0!</v>
      </c>
      <c r="D4" s="225" t="e">
        <f>'Расчет участников НИР'!U14/'Расчет участников НИР'!S14</f>
        <v>#DIV/0!</v>
      </c>
      <c r="E4" s="226" t="e">
        <f>'Расчет участников НИР'!V14/'Расчет участников НИР'!S14</f>
        <v>#DIV/0!</v>
      </c>
      <c r="F4" s="933" t="s">
        <v>673</v>
      </c>
      <c r="G4" s="934"/>
      <c r="H4" s="935"/>
      <c r="I4" s="217" t="s">
        <v>52</v>
      </c>
      <c r="J4" s="456">
        <v>0.5</v>
      </c>
      <c r="K4" s="457">
        <v>0.3</v>
      </c>
      <c r="L4" s="227">
        <f>K4</f>
        <v>0.3</v>
      </c>
      <c r="M4" s="456">
        <v>0.5</v>
      </c>
      <c r="N4" s="457">
        <v>0.3</v>
      </c>
      <c r="O4" s="227">
        <f>N4</f>
        <v>0.3</v>
      </c>
      <c r="P4" s="219">
        <f>ROUND(IF($J$1=Титул!$B$7,$H$3*M4,$H$3*J4),2)</f>
        <v>52050</v>
      </c>
      <c r="Q4" s="220">
        <f>ROUND(IF($J$1=Титул!$B$7,L4*P4,O4*P4),2)</f>
        <v>15615</v>
      </c>
      <c r="R4" s="221">
        <f>Q4/Q6</f>
        <v>9.6774193548387094E-2</v>
      </c>
      <c r="T4" s="985" t="s">
        <v>65</v>
      </c>
      <c r="U4" s="986"/>
      <c r="V4" s="986"/>
      <c r="W4" s="987"/>
      <c r="Y4" s="228"/>
      <c r="AC4" s="209" t="s">
        <v>69</v>
      </c>
      <c r="AD4" s="210" t="e">
        <f>V11</f>
        <v>#VALUE!</v>
      </c>
      <c r="AE4" s="210" t="e">
        <f>K11</f>
        <v>#VALUE!</v>
      </c>
    </row>
    <row r="5" spans="1:31" ht="31.5" customHeight="1" thickBot="1" x14ac:dyDescent="0.35">
      <c r="A5" s="229"/>
      <c r="H5" s="216">
        <f>H3*1.302</f>
        <v>135538.20000000001</v>
      </c>
      <c r="I5" s="440" t="s">
        <v>53</v>
      </c>
      <c r="J5" s="458">
        <v>2</v>
      </c>
      <c r="K5" s="459">
        <v>0.2</v>
      </c>
      <c r="L5" s="230">
        <f>IF('Состав ВТК'!G4=0%,K5-K5,K5)</f>
        <v>0.2</v>
      </c>
      <c r="M5" s="458">
        <v>2</v>
      </c>
      <c r="N5" s="459">
        <v>0.2</v>
      </c>
      <c r="O5" s="230">
        <f>IF('Состав ВТК'!G4=0%,N5-N5,N5)</f>
        <v>0.2</v>
      </c>
      <c r="P5" s="219">
        <f>ROUND(IF($J$1=Титул!$B$7,$H$3*M5,$H$3*J5),2)</f>
        <v>208200</v>
      </c>
      <c r="Q5" s="220">
        <f>ROUND(IF($J$1=Титул!$B$7,L5*P5,O5*P5),2)</f>
        <v>41640</v>
      </c>
      <c r="R5" s="221">
        <f>Q5/Q6</f>
        <v>0.25806451612903225</v>
      </c>
      <c r="T5" s="104" t="str">
        <f>T2</f>
        <v>ЦФ</v>
      </c>
      <c r="U5" s="104" t="str">
        <f>U2</f>
        <v>НИСП</v>
      </c>
      <c r="V5" s="104" t="str">
        <f>V2</f>
        <v>Дирекция</v>
      </c>
      <c r="W5" s="231" t="s">
        <v>64</v>
      </c>
      <c r="Y5" s="228"/>
    </row>
    <row r="6" spans="1:31" ht="39.75" customHeight="1" thickTop="1" thickBot="1" x14ac:dyDescent="0.3">
      <c r="A6" s="232"/>
      <c r="C6" s="7"/>
      <c r="E6" s="7"/>
      <c r="F6" s="232"/>
      <c r="G6" s="232"/>
      <c r="I6" s="233"/>
      <c r="J6" s="234"/>
      <c r="K6" s="235">
        <f>SUM(K3:K5)</f>
        <v>1</v>
      </c>
      <c r="L6" s="236">
        <f>SUM(L3:L5)</f>
        <v>1</v>
      </c>
      <c r="M6" s="234"/>
      <c r="N6" s="235">
        <f>SUM(N3:N5)</f>
        <v>1</v>
      </c>
      <c r="O6" s="236">
        <f>SUM(O3:O5)</f>
        <v>1</v>
      </c>
      <c r="P6" s="237"/>
      <c r="Q6" s="220">
        <f>SUM(Q3:Q5)</f>
        <v>161355</v>
      </c>
      <c r="R6" s="221">
        <f>SUM(R3:R5)</f>
        <v>1</v>
      </c>
      <c r="T6" s="238" t="e">
        <f>ROUND(A3*$T$3,2)</f>
        <v>#VALUE!</v>
      </c>
      <c r="U6" s="238" t="e">
        <f>ROUND(A3*$U$3,2)</f>
        <v>#VALUE!</v>
      </c>
      <c r="V6" s="238" t="e">
        <f>ROUND(A3*$V$3,2)</f>
        <v>#VALUE!</v>
      </c>
      <c r="W6" s="239" t="e">
        <f>V6+U6+T6</f>
        <v>#VALUE!</v>
      </c>
      <c r="Y6" s="228"/>
    </row>
    <row r="7" spans="1:31" ht="18.75" customHeight="1" thickBot="1" x14ac:dyDescent="0.3">
      <c r="H7" s="240"/>
      <c r="I7" s="240"/>
      <c r="J7" s="241"/>
      <c r="K7" s="241"/>
      <c r="L7" s="241"/>
      <c r="M7" s="241"/>
      <c r="N7" s="241"/>
      <c r="O7" s="241"/>
      <c r="P7" s="241"/>
      <c r="Q7" s="241"/>
      <c r="R7" s="242"/>
      <c r="S7" s="243"/>
      <c r="T7" s="244"/>
      <c r="U7" s="244"/>
      <c r="V7" s="244"/>
    </row>
    <row r="8" spans="1:31" ht="47.25" customHeight="1" thickBot="1" x14ac:dyDescent="0.3">
      <c r="A8" s="916" t="s">
        <v>2</v>
      </c>
      <c r="B8" s="943" t="s">
        <v>40</v>
      </c>
      <c r="C8" s="943" t="s">
        <v>35</v>
      </c>
      <c r="D8" s="943" t="s">
        <v>130</v>
      </c>
      <c r="E8" s="943" t="s">
        <v>41</v>
      </c>
      <c r="F8" s="943" t="s">
        <v>114</v>
      </c>
      <c r="G8" s="956" t="s">
        <v>81</v>
      </c>
      <c r="H8" s="957"/>
      <c r="I8" s="957"/>
      <c r="J8" s="957"/>
      <c r="K8" s="957"/>
      <c r="L8" s="958"/>
      <c r="M8" s="956" t="s">
        <v>80</v>
      </c>
      <c r="N8" s="957"/>
      <c r="O8" s="958"/>
      <c r="P8" s="919" t="s">
        <v>79</v>
      </c>
      <c r="Q8" s="920"/>
      <c r="R8" s="921"/>
      <c r="S8" s="941" t="s">
        <v>60</v>
      </c>
      <c r="T8" s="955" t="s">
        <v>59</v>
      </c>
      <c r="U8" s="990"/>
      <c r="V8" s="990"/>
      <c r="W8" s="990"/>
      <c r="X8" s="990"/>
      <c r="Y8" s="991"/>
    </row>
    <row r="9" spans="1:31" ht="14.25" customHeight="1" x14ac:dyDescent="0.25">
      <c r="A9" s="917"/>
      <c r="B9" s="944"/>
      <c r="C9" s="944"/>
      <c r="D9" s="944"/>
      <c r="E9" s="944"/>
      <c r="F9" s="944"/>
      <c r="G9" s="968" t="s">
        <v>193</v>
      </c>
      <c r="H9" s="952" t="s">
        <v>192</v>
      </c>
      <c r="I9" s="954" t="s">
        <v>61</v>
      </c>
      <c r="J9" s="954"/>
      <c r="K9" s="955"/>
      <c r="L9" s="939" t="s">
        <v>194</v>
      </c>
      <c r="M9" s="959"/>
      <c r="N9" s="960"/>
      <c r="O9" s="961"/>
      <c r="P9" s="922"/>
      <c r="Q9" s="923"/>
      <c r="R9" s="924"/>
      <c r="S9" s="942"/>
      <c r="T9" s="992" t="s">
        <v>82</v>
      </c>
      <c r="U9" s="993"/>
      <c r="V9" s="994"/>
      <c r="W9" s="992" t="s">
        <v>83</v>
      </c>
      <c r="X9" s="993" t="s">
        <v>62</v>
      </c>
      <c r="Y9" s="995" t="s">
        <v>63</v>
      </c>
    </row>
    <row r="10" spans="1:31" ht="77.25" customHeight="1" thickBot="1" x14ac:dyDescent="0.3">
      <c r="A10" s="917"/>
      <c r="B10" s="944"/>
      <c r="C10" s="944"/>
      <c r="D10" s="944"/>
      <c r="E10" s="944"/>
      <c r="F10" s="944"/>
      <c r="G10" s="969"/>
      <c r="H10" s="953"/>
      <c r="I10" s="245" t="s">
        <v>51</v>
      </c>
      <c r="J10" s="245" t="s">
        <v>52</v>
      </c>
      <c r="K10" s="246" t="s">
        <v>69</v>
      </c>
      <c r="L10" s="940"/>
      <c r="M10" s="962" t="s">
        <v>64</v>
      </c>
      <c r="N10" s="965" t="s">
        <v>51</v>
      </c>
      <c r="O10" s="949" t="s">
        <v>52</v>
      </c>
      <c r="P10" s="925"/>
      <c r="Q10" s="926"/>
      <c r="R10" s="927"/>
      <c r="S10" s="942"/>
      <c r="T10" s="247" t="s">
        <v>51</v>
      </c>
      <c r="U10" s="247" t="s">
        <v>52</v>
      </c>
      <c r="V10" s="247" t="s">
        <v>69</v>
      </c>
      <c r="W10" s="247" t="s">
        <v>51</v>
      </c>
      <c r="X10" s="247" t="s">
        <v>52</v>
      </c>
      <c r="Y10" s="248" t="s">
        <v>69</v>
      </c>
    </row>
    <row r="11" spans="1:31" ht="39" customHeight="1" thickBot="1" x14ac:dyDescent="0.3">
      <c r="A11" s="918"/>
      <c r="B11" s="944"/>
      <c r="C11" s="944"/>
      <c r="D11" s="944"/>
      <c r="E11" s="944"/>
      <c r="F11" s="945"/>
      <c r="G11" s="249" t="e">
        <f>A3-W6</f>
        <v>#VALUE!</v>
      </c>
      <c r="H11" s="250" t="e">
        <f>ROUND((G11-L11)/1.302,2)</f>
        <v>#VALUE!</v>
      </c>
      <c r="I11" s="251" t="e">
        <f>ROUND(H11*$R$3,2)</f>
        <v>#VALUE!</v>
      </c>
      <c r="J11" s="251" t="e">
        <f>ROUND(H11*$R$4,2)</f>
        <v>#VALUE!</v>
      </c>
      <c r="K11" s="252" t="e">
        <f>ROUND(H11*$R$5,2)</f>
        <v>#VALUE!</v>
      </c>
      <c r="L11" s="253">
        <f>L14</f>
        <v>0</v>
      </c>
      <c r="M11" s="963"/>
      <c r="N11" s="966"/>
      <c r="O11" s="950"/>
      <c r="P11" s="988" t="s">
        <v>75</v>
      </c>
      <c r="Q11" s="928" t="s">
        <v>217</v>
      </c>
      <c r="R11" s="946" t="s">
        <v>218</v>
      </c>
      <c r="S11" s="947" t="e">
        <f>SUM(T11:V12)</f>
        <v>#VALUE!</v>
      </c>
      <c r="T11" s="1000" t="e">
        <f>ROUND(I11/$P$3/12,2)</f>
        <v>#VALUE!</v>
      </c>
      <c r="U11" s="1000" t="e">
        <f>ROUND(J11/$P$4/12,2)</f>
        <v>#VALUE!</v>
      </c>
      <c r="V11" s="1000" t="e">
        <f>ROUND(K11/$P$5/12,2)</f>
        <v>#VALUE!</v>
      </c>
      <c r="W11" s="996" t="e">
        <f>T11/S11</f>
        <v>#VALUE!</v>
      </c>
      <c r="X11" s="996" t="e">
        <f>U11/S11</f>
        <v>#VALUE!</v>
      </c>
      <c r="Y11" s="998" t="e">
        <f>V11/S11</f>
        <v>#VALUE!</v>
      </c>
    </row>
    <row r="12" spans="1:31" s="259" customFormat="1" ht="26.25" customHeight="1" thickBot="1" x14ac:dyDescent="0.3">
      <c r="A12" s="930" t="s">
        <v>87</v>
      </c>
      <c r="B12" s="931"/>
      <c r="C12" s="931"/>
      <c r="D12" s="931"/>
      <c r="E12" s="931"/>
      <c r="F12" s="932"/>
      <c r="G12" s="254" t="e">
        <f>H12+L12</f>
        <v>#VALUE!</v>
      </c>
      <c r="H12" s="255" t="e">
        <f>ROUND(H11*0.302,2)</f>
        <v>#VALUE!</v>
      </c>
      <c r="I12" s="256" t="e">
        <f>ROUND(I11*0.302,2)</f>
        <v>#VALUE!</v>
      </c>
      <c r="J12" s="256" t="e">
        <f>ROUND(J11*0.302,2)</f>
        <v>#VALUE!</v>
      </c>
      <c r="K12" s="257" t="e">
        <f>ROUND(K11*0.302,2)</f>
        <v>#VALUE!</v>
      </c>
      <c r="L12" s="258"/>
      <c r="M12" s="963"/>
      <c r="N12" s="966"/>
      <c r="O12" s="950"/>
      <c r="P12" s="989"/>
      <c r="Q12" s="929"/>
      <c r="R12" s="927"/>
      <c r="S12" s="948"/>
      <c r="T12" s="1001"/>
      <c r="U12" s="1001"/>
      <c r="V12" s="1001"/>
      <c r="W12" s="997"/>
      <c r="X12" s="997"/>
      <c r="Y12" s="999"/>
    </row>
    <row r="13" spans="1:31" s="232" customFormat="1" ht="24.75" customHeight="1" thickBot="1" x14ac:dyDescent="0.3">
      <c r="A13" s="979" t="s">
        <v>66</v>
      </c>
      <c r="B13" s="980"/>
      <c r="C13" s="980"/>
      <c r="D13" s="980"/>
      <c r="E13" s="980"/>
      <c r="F13" s="981"/>
      <c r="G13" s="260" t="e">
        <f>H13+L13</f>
        <v>#VALUE!</v>
      </c>
      <c r="H13" s="261" t="e">
        <f>H11+H12-H14-H15</f>
        <v>#VALUE!</v>
      </c>
      <c r="I13" s="262" t="e">
        <f>I11+I12-I14-I15</f>
        <v>#VALUE!</v>
      </c>
      <c r="J13" s="262" t="e">
        <f>J11+J12-J14-J15</f>
        <v>#VALUE!</v>
      </c>
      <c r="K13" s="263" t="e">
        <f>K11+K12-K14-K15</f>
        <v>#VALUE!</v>
      </c>
      <c r="L13" s="264">
        <f>L11+L12-L14-L15</f>
        <v>0</v>
      </c>
      <c r="M13" s="964"/>
      <c r="N13" s="967"/>
      <c r="O13" s="951"/>
      <c r="P13" s="989"/>
      <c r="Q13" s="265">
        <v>0.8</v>
      </c>
      <c r="R13" s="266">
        <v>0.2</v>
      </c>
      <c r="S13" s="267" t="e">
        <f>SUM(T13:V13)</f>
        <v>#VALUE!</v>
      </c>
      <c r="T13" s="262" t="e">
        <f>T11-T14</f>
        <v>#VALUE!</v>
      </c>
      <c r="U13" s="262" t="e">
        <f>U11-U14</f>
        <v>#VALUE!</v>
      </c>
      <c r="V13" s="262" t="e">
        <f>V11-V14</f>
        <v>#VALUE!</v>
      </c>
      <c r="W13" s="268" t="e">
        <f>T13/S13</f>
        <v>#VALUE!</v>
      </c>
      <c r="X13" s="268" t="e">
        <f>U13/S13</f>
        <v>#VALUE!</v>
      </c>
      <c r="Y13" s="269" t="e">
        <f>V13/S13</f>
        <v>#VALUE!</v>
      </c>
    </row>
    <row r="14" spans="1:31" s="277" customFormat="1" ht="27" customHeight="1" x14ac:dyDescent="0.2">
      <c r="A14" s="976" t="s">
        <v>195</v>
      </c>
      <c r="B14" s="977"/>
      <c r="C14" s="977"/>
      <c r="D14" s="977"/>
      <c r="E14" s="977"/>
      <c r="F14" s="978"/>
      <c r="G14" s="270">
        <f>H14+L14</f>
        <v>0</v>
      </c>
      <c r="H14" s="271">
        <f t="shared" ref="H14:J14" si="0">ROUND(SUM(H16:H186),2)</f>
        <v>0</v>
      </c>
      <c r="I14" s="272">
        <f t="shared" si="0"/>
        <v>0</v>
      </c>
      <c r="J14" s="272">
        <f t="shared" si="0"/>
        <v>0</v>
      </c>
      <c r="K14" s="273">
        <f>ROUND(SUM(K16:K186),2)</f>
        <v>0</v>
      </c>
      <c r="L14" s="274">
        <f>IFERROR(SUM(Мат.запасы!$J$6,Мат.запасы!$J$7,'Прочие расходы'!$J$6,Командировочные!$L$5),"-")</f>
        <v>0</v>
      </c>
      <c r="M14" s="271">
        <f t="shared" ref="M14:R14" si="1">SUM(M16:M186)</f>
        <v>0</v>
      </c>
      <c r="N14" s="272">
        <f t="shared" si="1"/>
        <v>0</v>
      </c>
      <c r="O14" s="275">
        <f t="shared" si="1"/>
        <v>0</v>
      </c>
      <c r="P14" s="276">
        <f t="shared" si="1"/>
        <v>0</v>
      </c>
      <c r="Q14" s="272">
        <f t="shared" si="1"/>
        <v>0</v>
      </c>
      <c r="R14" s="275">
        <f t="shared" si="1"/>
        <v>0</v>
      </c>
      <c r="S14" s="970">
        <f>SUM(S16:S186)</f>
        <v>0</v>
      </c>
      <c r="T14" s="972">
        <f>SUM(T16:T186)</f>
        <v>0</v>
      </c>
      <c r="U14" s="972">
        <f>SUM(U16:U186)</f>
        <v>0</v>
      </c>
      <c r="V14" s="972">
        <f>SUM(V16:V186)</f>
        <v>0</v>
      </c>
      <c r="W14" s="974" t="e">
        <f>T14/S14</f>
        <v>#DIV/0!</v>
      </c>
      <c r="X14" s="974" t="e">
        <f>U14/S14</f>
        <v>#DIV/0!</v>
      </c>
      <c r="Y14" s="1002" t="e">
        <f>V14/S14</f>
        <v>#DIV/0!</v>
      </c>
    </row>
    <row r="15" spans="1:31" s="288" customFormat="1" ht="15.75" thickBot="1" x14ac:dyDescent="0.3">
      <c r="A15" s="982" t="s">
        <v>87</v>
      </c>
      <c r="B15" s="983"/>
      <c r="C15" s="983"/>
      <c r="D15" s="983"/>
      <c r="E15" s="983"/>
      <c r="F15" s="984"/>
      <c r="G15" s="278">
        <f>H15+L15</f>
        <v>0</v>
      </c>
      <c r="H15" s="279">
        <f>ROUND(H14*0.302,2)</f>
        <v>0</v>
      </c>
      <c r="I15" s="280">
        <f>ROUND(I14*0.302,2)</f>
        <v>0</v>
      </c>
      <c r="J15" s="280">
        <f>ROUND(J14*0.302,2)</f>
        <v>0</v>
      </c>
      <c r="K15" s="281">
        <f>ROUND(K14*0.302,2)</f>
        <v>0</v>
      </c>
      <c r="L15" s="282"/>
      <c r="M15" s="283">
        <f t="shared" ref="M15:R15" si="2">ROUND(M14*0.302,2)</f>
        <v>0</v>
      </c>
      <c r="N15" s="284">
        <f t="shared" si="2"/>
        <v>0</v>
      </c>
      <c r="O15" s="285">
        <f t="shared" si="2"/>
        <v>0</v>
      </c>
      <c r="P15" s="286">
        <f t="shared" si="2"/>
        <v>0</v>
      </c>
      <c r="Q15" s="280">
        <f t="shared" si="2"/>
        <v>0</v>
      </c>
      <c r="R15" s="287">
        <f t="shared" si="2"/>
        <v>0</v>
      </c>
      <c r="S15" s="971"/>
      <c r="T15" s="973"/>
      <c r="U15" s="973"/>
      <c r="V15" s="973"/>
      <c r="W15" s="975"/>
      <c r="X15" s="975"/>
      <c r="Y15" s="1003"/>
    </row>
    <row r="16" spans="1:31" x14ac:dyDescent="0.25">
      <c r="A16" s="289">
        <f>'Состав ВТК'!B9</f>
        <v>0</v>
      </c>
      <c r="B16" s="290">
        <f>IFERROR(VLOOKUP($A16,Распределение!$B$13:$L$113,11,FALSE),"-")</f>
        <v>0</v>
      </c>
      <c r="C16" s="291" t="str">
        <f>IFERROR(IF(VLOOKUP($B16,Расценка!$H$3:$I$9,2,FALSE)="НС",Расценка!$T$11,Расценка!$T$12),"-")</f>
        <v>-</v>
      </c>
      <c r="D16" s="291">
        <f>IFERROR(INDEX(Распределение!$1:$1048576,MATCH($A16,Распределение!$B:$B,0),MATCH($D$8,Распределение!$9:$9,0)),"---")</f>
        <v>0</v>
      </c>
      <c r="E16" s="292">
        <f>IFERROR(SUMIFS('Трудозатраты членов ВТК'!$G$17:$G$117,'Трудозатраты членов ВТК'!$D$17:$D$117,A:A),"-")</f>
        <v>0</v>
      </c>
      <c r="F16" s="293">
        <f>IFERROR(SUMIFS('Трудозатраты членов ВТК'!$F$464:$F$713,'Трудозатраты членов ВТК'!$D$464:$D$713,A:A),"-")</f>
        <v>0</v>
      </c>
      <c r="G16" s="294"/>
      <c r="H16" s="295">
        <f>SUM(I16:K16)</f>
        <v>0</v>
      </c>
      <c r="I16" s="296">
        <f>IFERROR(ROUND(IF('Состав ВТК'!$K9=справочник!$A$5,IF(AND('Расчет участников НИР'!$A16='Состав ВТК'!$B9,$I$10='Состав ВТК'!$I9),$F16*$D16*VLOOKUP('Расчет участников НИР'!$B16,Расценка!$C$3:$E$13,3,FALSE),0),0),2),"-")</f>
        <v>0</v>
      </c>
      <c r="J16" s="296">
        <f>IFERROR(ROUND(IF('Состав ВТК'!$K9=справочник!$A$5,IF(AND('Расчет участников НИР'!$A16='Состав ВТК'!$B9,$J$10='Состав ВТК'!$I9),$F16*$D16*VLOOKUP('Расчет участников НИР'!$B16,Расценка!$C$3:$E$13,3,FALSE),0),0),2),"-")</f>
        <v>0</v>
      </c>
      <c r="K16" s="296">
        <f>IFERROR(ROUND(IF('Состав ВТК'!$K9=справочник!$A$5,IF(AND('Расчет участников НИР'!$A16='Состав ВТК'!$B9,$K$10='Состав ВТК'!$I9),$F16*$D16*VLOOKUP('Расчет участников НИР'!$B16,Расценка!$C$3:$E$13,3,FALSE),0),0),2),"-")</f>
        <v>0</v>
      </c>
      <c r="L16" s="297"/>
      <c r="M16" s="295">
        <f>SUM(N16:O16)</f>
        <v>0</v>
      </c>
      <c r="N16" s="298">
        <f>IFERROR(ROUND(IF('Состав ВТК'!$K9=справочник!$A$5,(IF(AND($A16='Состав ВТК'!$B9,$N$10=$C16),$F16*$D16*VLOOKUP($B16,Расценка!$H$3:$K$9,4,FALSE),0)),0),2),"-")</f>
        <v>0</v>
      </c>
      <c r="O16" s="298">
        <f>IFERROR(ROUND(IF('Состав ВТК'!$K9=справочник!$A$5,(IF(AND($A16='Состав ВТК'!$B9,$O$10=$C16),$F16*$D16*VLOOKUP($B16,Расценка!$H$3:$K$9,4,FALSE),0)),0),2),"-")</f>
        <v>0</v>
      </c>
      <c r="P16" s="299">
        <f>H16-M16</f>
        <v>0</v>
      </c>
      <c r="Q16" s="300">
        <f>ROUND($P16*$Q$13,2)</f>
        <v>0</v>
      </c>
      <c r="R16" s="300">
        <f>ROUND($P16*$R$13,2)</f>
        <v>0</v>
      </c>
      <c r="S16" s="295">
        <f>SUM(T16:V16)</f>
        <v>0</v>
      </c>
      <c r="T16" s="298">
        <f>IFERROR(ROUND(IF(AND('Расчет участников НИР'!$A16='Состав ВТК'!$B9,'Расчет участников НИР'!$T$10='Состав ВТК'!$I9),$E16,0),2),"-")</f>
        <v>0</v>
      </c>
      <c r="U16" s="298">
        <f>IFERROR(ROUND(IF(AND('Расчет участников НИР'!$A16='Состав ВТК'!$B9,'Расчет участников НИР'!$U$10='Состав ВТК'!$I9),$E16,0),2),"-")</f>
        <v>0</v>
      </c>
      <c r="V16" s="298">
        <f>IFERROR(ROUND(IF(AND('Расчет участников НИР'!$A16='Состав ВТК'!$B9,'Расчет участников НИР'!$V$10='Состав ВТК'!$I9),$E16,0),2),"-")</f>
        <v>0</v>
      </c>
      <c r="W16" s="301" t="str">
        <f>IFERROR(T16/$S16,"-")</f>
        <v>-</v>
      </c>
      <c r="X16" s="301" t="str">
        <f>IFERROR(U16/$S16,"-")</f>
        <v>-</v>
      </c>
      <c r="Y16" s="301" t="str">
        <f>IFERROR(V16/$S16,"-")</f>
        <v>-</v>
      </c>
    </row>
    <row r="17" spans="1:27" x14ac:dyDescent="0.25">
      <c r="A17" s="217">
        <f>'Состав ВТК'!B10</f>
        <v>0</v>
      </c>
      <c r="B17" s="290">
        <f>IFERROR(VLOOKUP($A17,Распределение!$B$13:$L$113,11,FALSE),"-")</f>
        <v>0</v>
      </c>
      <c r="C17" s="291" t="str">
        <f>IFERROR(IF(VLOOKUP($B17,Расценка!$H$3:$I$9,2,FALSE)="НС",Расценка!$T$11,Расценка!$T$12),"-")</f>
        <v>-</v>
      </c>
      <c r="D17" s="291">
        <f>IFERROR(INDEX(Распределение!$1:$1048576,MATCH($A17,Распределение!$B:$B,0),MATCH($D$8,Распределение!$9:$9,0)),"---")</f>
        <v>0</v>
      </c>
      <c r="E17" s="292">
        <f>IFERROR(SUMIFS('Трудозатраты членов ВТК'!$G$17:$G$117,'Трудозатраты членов ВТК'!$D$17:$D$117,A:A),"-")</f>
        <v>0</v>
      </c>
      <c r="F17" s="293">
        <f>IFERROR(SUMIFS('Трудозатраты членов ВТК'!$F$464:$F$713,'Трудозатраты членов ВТК'!$D$464:$D$713,A:A),"-")</f>
        <v>0</v>
      </c>
      <c r="G17" s="302"/>
      <c r="H17" s="295">
        <f>SUM(I17:K17)</f>
        <v>0</v>
      </c>
      <c r="I17" s="296">
        <f>IFERROR(ROUND(IF('Состав ВТК'!$K10=справочник!$A$5,IF(AND('Расчет участников НИР'!$A17='Состав ВТК'!$B10,$I$10='Состав ВТК'!$I10),$F17*$D17*VLOOKUP('Расчет участников НИР'!$B17,Расценка!$C$3:$E$13,3,FALSE),0),0),2),"-")</f>
        <v>0</v>
      </c>
      <c r="J17" s="296">
        <f>IFERROR(ROUND(IF('Состав ВТК'!$K10=справочник!$A$5,IF(AND('Расчет участников НИР'!$A17='Состав ВТК'!$B10,$J$10='Состав ВТК'!$I10),$F17*$D17*VLOOKUP('Расчет участников НИР'!$B17,Расценка!$C$3:$E$13,3,FALSE),0),0),2),"-")</f>
        <v>0</v>
      </c>
      <c r="K17" s="296">
        <f>IFERROR(ROUND(IF('Состав ВТК'!$K10=справочник!$A$5,IF(AND('Расчет участников НИР'!$A17='Состав ВТК'!$B10,$K$10='Состав ВТК'!$I10),$F17*$D17*VLOOKUP('Расчет участников НИР'!$B17,Расценка!$C$3:$E$13,3,FALSE),0),0),2),"-")</f>
        <v>0</v>
      </c>
      <c r="L17" s="297"/>
      <c r="M17" s="295">
        <f t="shared" ref="M17:M80" si="3">SUM(N17:O17)</f>
        <v>0</v>
      </c>
      <c r="N17" s="298">
        <f>IFERROR(ROUND(IF('Состав ВТК'!$K10=справочник!$A$5,(IF(AND($A17='Состав ВТК'!$B10,$N$10=$C17),$F17*$D17*VLOOKUP($B17,Расценка!$H$3:$K$9,4,FALSE),0)),0),2),"-")</f>
        <v>0</v>
      </c>
      <c r="O17" s="298">
        <f>IFERROR(ROUND(IF('Состав ВТК'!$K10=справочник!$A$5,(IF(AND($A17='Состав ВТК'!$B10,$O$10=$C17),$F17*$D17*VLOOKUP($B17,Расценка!$H$3:$K$9,4,FALSE),0)),0),2),"-")</f>
        <v>0</v>
      </c>
      <c r="P17" s="299">
        <f>H17-M17</f>
        <v>0</v>
      </c>
      <c r="Q17" s="300">
        <f t="shared" ref="Q17:Q80" si="4">ROUND($P17*$Q$13,2)</f>
        <v>0</v>
      </c>
      <c r="R17" s="300">
        <f t="shared" ref="R17:R80" si="5">ROUND($P17*$R$13,2)</f>
        <v>0</v>
      </c>
      <c r="S17" s="295">
        <f t="shared" ref="S17:S80" si="6">SUM(T17:V17)</f>
        <v>0</v>
      </c>
      <c r="T17" s="298">
        <f>IFERROR(ROUND(IF(AND('Расчет участников НИР'!$A17='Состав ВТК'!$B10,'Расчет участников НИР'!$T$10='Состав ВТК'!$I10),$E17,0),2),"-")</f>
        <v>0</v>
      </c>
      <c r="U17" s="298">
        <f>IFERROR(ROUND(IF(AND('Расчет участников НИР'!$A17='Состав ВТК'!$B10,'Расчет участников НИР'!$U$10='Состав ВТК'!$I10),$E17,0),2),"-")</f>
        <v>0</v>
      </c>
      <c r="V17" s="298">
        <f>IFERROR(ROUND(IF(AND('Расчет участников НИР'!$A17='Состав ВТК'!$B10,'Расчет участников НИР'!$V$10='Состав ВТК'!$I10),$E17,0),2),"-")</f>
        <v>0</v>
      </c>
      <c r="W17" s="301" t="str">
        <f t="shared" ref="W17:W80" si="7">IFERROR(T17/$S17,"-")</f>
        <v>-</v>
      </c>
      <c r="X17" s="301" t="str">
        <f t="shared" ref="X17:X80" si="8">IFERROR(U17/$S17,"-")</f>
        <v>-</v>
      </c>
      <c r="Y17" s="301" t="str">
        <f t="shared" ref="Y17:Y80" si="9">IFERROR(V17/$S17,"-")</f>
        <v>-</v>
      </c>
    </row>
    <row r="18" spans="1:27" x14ac:dyDescent="0.25">
      <c r="A18" s="217">
        <f>'Состав ВТК'!B11</f>
        <v>0</v>
      </c>
      <c r="B18" s="290">
        <f>IFERROR(VLOOKUP($A18,Распределение!$B$13:$L$113,11,FALSE),"-")</f>
        <v>0</v>
      </c>
      <c r="C18" s="291" t="str">
        <f>IFERROR(IF(VLOOKUP($B18,Расценка!$H$3:$I$9,2,FALSE)="НС",Расценка!$T$11,Расценка!$T$12),"-")</f>
        <v>-</v>
      </c>
      <c r="D18" s="291">
        <f>IFERROR(INDEX(Распределение!$1:$1048576,MATCH($A18,Распределение!$B:$B,0),MATCH($D$8,Распределение!$9:$9,0)),"---")</f>
        <v>0</v>
      </c>
      <c r="E18" s="292">
        <f>IFERROR(SUMIFS('Трудозатраты членов ВТК'!$G$17:$G$117,'Трудозатраты членов ВТК'!$D$17:$D$117,A:A),"-")</f>
        <v>0</v>
      </c>
      <c r="F18" s="293">
        <f>IFERROR(SUMIFS('Трудозатраты членов ВТК'!$F$464:$F$713,'Трудозатраты членов ВТК'!$D$464:$D$713,A:A),"-")</f>
        <v>0</v>
      </c>
      <c r="G18" s="302"/>
      <c r="H18" s="295">
        <f t="shared" ref="H18:H80" si="10">SUM(I18:K18)</f>
        <v>0</v>
      </c>
      <c r="I18" s="296">
        <f>IFERROR(ROUND(IF('Состав ВТК'!$K11=справочник!$A$5,IF(AND('Расчет участников НИР'!$A18='Состав ВТК'!$B11,$I$10='Состав ВТК'!$I11),$F18*$D18*VLOOKUP('Расчет участников НИР'!$B18,Расценка!$C$3:$E$13,3,FALSE),0),0),2),"-")</f>
        <v>0</v>
      </c>
      <c r="J18" s="296">
        <f>IFERROR(ROUND(IF('Состав ВТК'!$K11=справочник!$A$5,IF(AND('Расчет участников НИР'!$A18='Состав ВТК'!$B11,$J$10='Состав ВТК'!$I11),$F18*$D18*VLOOKUP('Расчет участников НИР'!$B18,Расценка!$C$3:$E$13,3,FALSE),0),0),2),"-")</f>
        <v>0</v>
      </c>
      <c r="K18" s="296">
        <f>IFERROR(ROUND(IF('Состав ВТК'!$K11=справочник!$A$5,IF(AND('Расчет участников НИР'!$A18='Состав ВТК'!$B11,$K$10='Состав ВТК'!$I11),$F18*$D18*VLOOKUP('Расчет участников НИР'!$B18,Расценка!$C$3:$E$13,3,FALSE),0),0),2),"-")</f>
        <v>0</v>
      </c>
      <c r="L18" s="297"/>
      <c r="M18" s="295">
        <f t="shared" si="3"/>
        <v>0</v>
      </c>
      <c r="N18" s="298">
        <f>IFERROR(ROUND(IF('Состав ВТК'!$K11=справочник!$A$5,(IF(AND($A18='Состав ВТК'!$B11,$N$10=$C18),$F18*$D18*VLOOKUP($B18,Расценка!$H$3:$K$9,4,FALSE),0)),0),2),"-")</f>
        <v>0</v>
      </c>
      <c r="O18" s="298">
        <f>IFERROR(ROUND(IF('Состав ВТК'!$K11=справочник!$A$5,(IF(AND($A18='Состав ВТК'!$B11,$O$10=$C18),$F18*$D18*VLOOKUP($B18,Расценка!$H$3:$K$9,4,FALSE),0)),0),2),"-")</f>
        <v>0</v>
      </c>
      <c r="P18" s="299">
        <f t="shared" ref="P18:P80" si="11">H18-M18</f>
        <v>0</v>
      </c>
      <c r="Q18" s="300">
        <f t="shared" si="4"/>
        <v>0</v>
      </c>
      <c r="R18" s="300">
        <f t="shared" si="5"/>
        <v>0</v>
      </c>
      <c r="S18" s="295">
        <f t="shared" si="6"/>
        <v>0</v>
      </c>
      <c r="T18" s="298">
        <f>IFERROR(ROUND(IF(AND('Расчет участников НИР'!$A18='Состав ВТК'!$B11,'Расчет участников НИР'!$T$10='Состав ВТК'!$I11),$E18,0),2),"-")</f>
        <v>0</v>
      </c>
      <c r="U18" s="298">
        <f>IFERROR(ROUND(IF(AND('Расчет участников НИР'!$A18='Состав ВТК'!$B11,'Расчет участников НИР'!$U$10='Состав ВТК'!$I11),$E18,0),2),"-")</f>
        <v>0</v>
      </c>
      <c r="V18" s="298">
        <f>IFERROR(ROUND(IF(AND('Расчет участников НИР'!$A18='Состав ВТК'!$B11,'Расчет участников НИР'!$V$10='Состав ВТК'!$I11),$E18,0),2),"-")</f>
        <v>0</v>
      </c>
      <c r="W18" s="301" t="str">
        <f t="shared" si="7"/>
        <v>-</v>
      </c>
      <c r="X18" s="301" t="str">
        <f t="shared" si="8"/>
        <v>-</v>
      </c>
      <c r="Y18" s="301" t="str">
        <f t="shared" si="9"/>
        <v>-</v>
      </c>
    </row>
    <row r="19" spans="1:27" x14ac:dyDescent="0.25">
      <c r="A19" s="217">
        <f>'Состав ВТК'!B12</f>
        <v>0</v>
      </c>
      <c r="B19" s="290">
        <f>IFERROR(VLOOKUP($A19,Распределение!$B$13:$L$113,11,FALSE),"-")</f>
        <v>0</v>
      </c>
      <c r="C19" s="291" t="str">
        <f>IFERROR(IF(VLOOKUP($B19,Расценка!$H$3:$I$9,2,FALSE)="НС",Расценка!$T$11,Расценка!$T$12),"-")</f>
        <v>-</v>
      </c>
      <c r="D19" s="291">
        <f>IFERROR(INDEX(Распределение!$1:$1048576,MATCH($A19,Распределение!$B:$B,0),MATCH($D$8,Распределение!$9:$9,0)),"---")</f>
        <v>0</v>
      </c>
      <c r="E19" s="292">
        <f>IFERROR(SUMIFS('Трудозатраты членов ВТК'!$G$17:$G$117,'Трудозатраты членов ВТК'!$D$17:$D$117,A:A),"-")</f>
        <v>0</v>
      </c>
      <c r="F19" s="293">
        <f>IFERROR(SUMIFS('Трудозатраты членов ВТК'!$F$464:$F$713,'Трудозатраты членов ВТК'!$D$464:$D$713,A:A),"-")</f>
        <v>0</v>
      </c>
      <c r="G19" s="302"/>
      <c r="H19" s="295">
        <f t="shared" si="10"/>
        <v>0</v>
      </c>
      <c r="I19" s="296">
        <f>IFERROR(ROUND(IF('Состав ВТК'!$K12=справочник!$A$5,IF(AND('Расчет участников НИР'!$A19='Состав ВТК'!$B12,$I$10='Состав ВТК'!$I12),$F19*$D19*VLOOKUP('Расчет участников НИР'!$B19,Расценка!$C$3:$E$13,3,FALSE),0),0),2),"-")</f>
        <v>0</v>
      </c>
      <c r="J19" s="296">
        <f>IFERROR(ROUND(IF('Состав ВТК'!$K12=справочник!$A$5,IF(AND('Расчет участников НИР'!$A19='Состав ВТК'!$B12,$J$10='Состав ВТК'!$I12),$F19*$D19*VLOOKUP('Расчет участников НИР'!$B19,Расценка!$C$3:$E$13,3,FALSE),0),0),2),"-")</f>
        <v>0</v>
      </c>
      <c r="K19" s="296">
        <f>IFERROR(ROUND(IF('Состав ВТК'!$K12=справочник!$A$5,IF(AND('Расчет участников НИР'!$A19='Состав ВТК'!$B12,$K$10='Состав ВТК'!$I12),$F19*$D19*VLOOKUP('Расчет участников НИР'!$B19,Расценка!$C$3:$E$13,3,FALSE),0),0),2),"-")</f>
        <v>0</v>
      </c>
      <c r="L19" s="297"/>
      <c r="M19" s="295">
        <f t="shared" si="3"/>
        <v>0</v>
      </c>
      <c r="N19" s="298">
        <f>IFERROR(ROUND(IF('Состав ВТК'!$K12=справочник!$A$5,(IF(AND($A19='Состав ВТК'!$B12,$N$10=$C19),$F19*$D19*VLOOKUP($B19,Расценка!$H$3:$K$9,4,FALSE),0)),0),2),"-")</f>
        <v>0</v>
      </c>
      <c r="O19" s="298">
        <f>IFERROR(ROUND(IF('Состав ВТК'!$K12=справочник!$A$5,(IF(AND($A19='Состав ВТК'!$B12,$O$10=$C19),$F19*$D19*VLOOKUP($B19,Расценка!$H$3:$K$9,4,FALSE),0)),0),2),"-")</f>
        <v>0</v>
      </c>
      <c r="P19" s="299">
        <f t="shared" si="11"/>
        <v>0</v>
      </c>
      <c r="Q19" s="300">
        <f t="shared" si="4"/>
        <v>0</v>
      </c>
      <c r="R19" s="300">
        <f t="shared" si="5"/>
        <v>0</v>
      </c>
      <c r="S19" s="295">
        <f t="shared" si="6"/>
        <v>0</v>
      </c>
      <c r="T19" s="298">
        <f>IFERROR(ROUND(IF(AND('Расчет участников НИР'!$A19='Состав ВТК'!$B12,'Расчет участников НИР'!$T$10='Состав ВТК'!$I12),$E19,0),2),"-")</f>
        <v>0</v>
      </c>
      <c r="U19" s="298">
        <f>IFERROR(ROUND(IF(AND('Расчет участников НИР'!$A19='Состав ВТК'!$B12,'Расчет участников НИР'!$U$10='Состав ВТК'!$I12),$E19,0),2),"-")</f>
        <v>0</v>
      </c>
      <c r="V19" s="298">
        <f>IFERROR(ROUND(IF(AND('Расчет участников НИР'!$A19='Состав ВТК'!$B12,'Расчет участников НИР'!$V$10='Состав ВТК'!$I12),$E19,0),2),"-")</f>
        <v>0</v>
      </c>
      <c r="W19" s="301" t="str">
        <f t="shared" si="7"/>
        <v>-</v>
      </c>
      <c r="X19" s="301" t="str">
        <f t="shared" si="8"/>
        <v>-</v>
      </c>
      <c r="Y19" s="301" t="str">
        <f t="shared" si="9"/>
        <v>-</v>
      </c>
    </row>
    <row r="20" spans="1:27" x14ac:dyDescent="0.25">
      <c r="A20" s="217">
        <f>'Состав ВТК'!B13</f>
        <v>0</v>
      </c>
      <c r="B20" s="290">
        <f>IFERROR(VLOOKUP($A20,Распределение!$B$13:$L$113,11,FALSE),"-")</f>
        <v>0</v>
      </c>
      <c r="C20" s="291" t="str">
        <f>IFERROR(IF(VLOOKUP($B20,Расценка!$H$3:$I$9,2,FALSE)="НС",Расценка!$T$11,Расценка!$T$12),"-")</f>
        <v>-</v>
      </c>
      <c r="D20" s="291">
        <f>IFERROR(INDEX(Распределение!$1:$1048576,MATCH($A20,Распределение!$B:$B,0),MATCH($D$8,Распределение!$9:$9,0)),"---")</f>
        <v>0</v>
      </c>
      <c r="E20" s="292">
        <f>IFERROR(SUMIFS('Трудозатраты членов ВТК'!$G$17:$G$117,'Трудозатраты членов ВТК'!$D$17:$D$117,A:A),"-")</f>
        <v>0</v>
      </c>
      <c r="F20" s="293">
        <f>IFERROR(SUMIFS('Трудозатраты членов ВТК'!$F$464:$F$713,'Трудозатраты членов ВТК'!$D$464:$D$713,A:A),"-")</f>
        <v>0</v>
      </c>
      <c r="G20" s="302"/>
      <c r="H20" s="295">
        <f t="shared" si="10"/>
        <v>0</v>
      </c>
      <c r="I20" s="296">
        <f>IFERROR(ROUND(IF('Состав ВТК'!$K13=справочник!$A$5,IF(AND('Расчет участников НИР'!$A20='Состав ВТК'!$B13,$I$10='Состав ВТК'!$I13),$F20*$D20*VLOOKUP('Расчет участников НИР'!$B20,Расценка!$C$3:$E$13,3,FALSE),0),0),2),"-")</f>
        <v>0</v>
      </c>
      <c r="J20" s="296">
        <f>IFERROR(ROUND(IF('Состав ВТК'!$K13=справочник!$A$5,IF(AND('Расчет участников НИР'!$A20='Состав ВТК'!$B13,$J$10='Состав ВТК'!$I13),$F20*$D20*VLOOKUP('Расчет участников НИР'!$B20,Расценка!$C$3:$E$13,3,FALSE),0),0),2),"-")</f>
        <v>0</v>
      </c>
      <c r="K20" s="296">
        <f>IFERROR(ROUND(IF('Состав ВТК'!$K13=справочник!$A$5,IF(AND('Расчет участников НИР'!$A20='Состав ВТК'!$B13,$K$10='Состав ВТК'!$I13),$F20*$D20*VLOOKUP('Расчет участников НИР'!$B20,Расценка!$C$3:$E$13,3,FALSE),0),0),2),"-")</f>
        <v>0</v>
      </c>
      <c r="L20" s="297"/>
      <c r="M20" s="295">
        <f t="shared" si="3"/>
        <v>0</v>
      </c>
      <c r="N20" s="298">
        <f>IFERROR(ROUND(IF('Состав ВТК'!$K13=справочник!$A$5,(IF(AND($A20='Состав ВТК'!$B13,$N$10=$C20),$F20*$D20*VLOOKUP($B20,Расценка!$H$3:$K$9,4,FALSE),0)),0),2),"-")</f>
        <v>0</v>
      </c>
      <c r="O20" s="298">
        <f>IFERROR(ROUND(IF('Состав ВТК'!$K13=справочник!$A$5,(IF(AND($A20='Состав ВТК'!$B13,$O$10=$C20),$F20*$D20*VLOOKUP($B20,Расценка!$H$3:$K$9,4,FALSE),0)),0),2),"-")</f>
        <v>0</v>
      </c>
      <c r="P20" s="299">
        <f t="shared" si="11"/>
        <v>0</v>
      </c>
      <c r="Q20" s="300">
        <f t="shared" si="4"/>
        <v>0</v>
      </c>
      <c r="R20" s="300">
        <f t="shared" si="5"/>
        <v>0</v>
      </c>
      <c r="S20" s="295">
        <f t="shared" si="6"/>
        <v>0</v>
      </c>
      <c r="T20" s="298">
        <f>IFERROR(ROUND(IF(AND('Расчет участников НИР'!$A20='Состав ВТК'!$B13,'Расчет участников НИР'!$T$10='Состав ВТК'!$I13),$E20,0),2),"-")</f>
        <v>0</v>
      </c>
      <c r="U20" s="298">
        <f>IFERROR(ROUND(IF(AND('Расчет участников НИР'!$A20='Состав ВТК'!$B13,'Расчет участников НИР'!$U$10='Состав ВТК'!$I13),$E20,0),2),"-")</f>
        <v>0</v>
      </c>
      <c r="V20" s="298">
        <f>IFERROR(ROUND(IF(AND('Расчет участников НИР'!$A20='Состав ВТК'!$B13,'Расчет участников НИР'!$V$10='Состав ВТК'!$I13),$E20,0),2),"-")</f>
        <v>0</v>
      </c>
      <c r="W20" s="301" t="str">
        <f t="shared" si="7"/>
        <v>-</v>
      </c>
      <c r="X20" s="301" t="str">
        <f t="shared" si="8"/>
        <v>-</v>
      </c>
      <c r="Y20" s="301" t="str">
        <f t="shared" si="9"/>
        <v>-</v>
      </c>
    </row>
    <row r="21" spans="1:27" x14ac:dyDescent="0.25">
      <c r="A21" s="217">
        <f>'Состав ВТК'!B14</f>
        <v>0</v>
      </c>
      <c r="B21" s="290">
        <f>IFERROR(VLOOKUP($A21,Распределение!$B$13:$L$113,11,FALSE),"-")</f>
        <v>0</v>
      </c>
      <c r="C21" s="291" t="str">
        <f>IFERROR(IF(VLOOKUP($B21,Расценка!$H$3:$I$9,2,FALSE)="НС",Расценка!$T$11,Расценка!$T$12),"-")</f>
        <v>-</v>
      </c>
      <c r="D21" s="291">
        <f>IFERROR(INDEX(Распределение!$1:$1048576,MATCH($A21,Распределение!$B:$B,0),MATCH($D$8,Распределение!$9:$9,0)),"---")</f>
        <v>0</v>
      </c>
      <c r="E21" s="292">
        <f>IFERROR(SUMIFS('Трудозатраты членов ВТК'!$G$17:$G$117,'Трудозатраты членов ВТК'!$D$17:$D$117,A:A),"-")</f>
        <v>0</v>
      </c>
      <c r="F21" s="293">
        <f>IFERROR(SUMIFS('Трудозатраты членов ВТК'!$F$464:$F$713,'Трудозатраты членов ВТК'!$D$464:$D$713,A:A),"-")</f>
        <v>0</v>
      </c>
      <c r="G21" s="302"/>
      <c r="H21" s="295">
        <f t="shared" si="10"/>
        <v>0</v>
      </c>
      <c r="I21" s="296">
        <f>IFERROR(ROUND(IF('Состав ВТК'!$K14=справочник!$A$5,IF(AND('Расчет участников НИР'!$A21='Состав ВТК'!$B14,$I$10='Состав ВТК'!$I14),$F21*$D21*VLOOKUP('Расчет участников НИР'!$B21,Расценка!$C$3:$E$13,3,FALSE),0),0),2),"-")</f>
        <v>0</v>
      </c>
      <c r="J21" s="296">
        <f>IFERROR(ROUND(IF('Состав ВТК'!$K14=справочник!$A$5,IF(AND('Расчет участников НИР'!$A21='Состав ВТК'!$B14,$J$10='Состав ВТК'!$I14),$F21*$D21*VLOOKUP('Расчет участников НИР'!$B21,Расценка!$C$3:$E$13,3,FALSE),0),0),2),"-")</f>
        <v>0</v>
      </c>
      <c r="K21" s="296">
        <f>IFERROR(ROUND(IF('Состав ВТК'!$K14=справочник!$A$5,IF(AND('Расчет участников НИР'!$A21='Состав ВТК'!$B14,$K$10='Состав ВТК'!$I14),$F21*$D21*VLOOKUP('Расчет участников НИР'!$B21,Расценка!$C$3:$E$13,3,FALSE),0),0),2),"-")</f>
        <v>0</v>
      </c>
      <c r="L21" s="297"/>
      <c r="M21" s="295">
        <f t="shared" si="3"/>
        <v>0</v>
      </c>
      <c r="N21" s="298">
        <f>IFERROR(ROUND(IF('Состав ВТК'!$K14=справочник!$A$5,(IF(AND($A21='Состав ВТК'!$B14,$N$10=$C21),$F21*$D21*VLOOKUP($B21,Расценка!$H$3:$K$9,4,FALSE),0)),0),2),"-")</f>
        <v>0</v>
      </c>
      <c r="O21" s="298">
        <f>IFERROR(ROUND(IF('Состав ВТК'!$K14=справочник!$A$5,(IF(AND($A21='Состав ВТК'!$B14,$O$10=$C21),$F21*$D21*VLOOKUP($B21,Расценка!$H$3:$K$9,4,FALSE),0)),0),2),"-")</f>
        <v>0</v>
      </c>
      <c r="P21" s="299">
        <f t="shared" si="11"/>
        <v>0</v>
      </c>
      <c r="Q21" s="300">
        <f t="shared" si="4"/>
        <v>0</v>
      </c>
      <c r="R21" s="300">
        <f t="shared" si="5"/>
        <v>0</v>
      </c>
      <c r="S21" s="295">
        <f t="shared" si="6"/>
        <v>0</v>
      </c>
      <c r="T21" s="298">
        <f>IFERROR(ROUND(IF(AND('Расчет участников НИР'!$A21='Состав ВТК'!$B14,'Расчет участников НИР'!$T$10='Состав ВТК'!$I14),$E21,0),2),"-")</f>
        <v>0</v>
      </c>
      <c r="U21" s="298">
        <f>IFERROR(ROUND(IF(AND('Расчет участников НИР'!$A21='Состав ВТК'!$B14,'Расчет участников НИР'!$U$10='Состав ВТК'!$I14),$E21,0),2),"-")</f>
        <v>0</v>
      </c>
      <c r="V21" s="298">
        <f>IFERROR(ROUND(IF(AND('Расчет участников НИР'!$A21='Состав ВТК'!$B14,'Расчет участников НИР'!$V$10='Состав ВТК'!$I14),$E21,0),2),"-")</f>
        <v>0</v>
      </c>
      <c r="W21" s="301" t="str">
        <f t="shared" si="7"/>
        <v>-</v>
      </c>
      <c r="X21" s="301" t="str">
        <f t="shared" si="8"/>
        <v>-</v>
      </c>
      <c r="Y21" s="301" t="str">
        <f t="shared" si="9"/>
        <v>-</v>
      </c>
      <c r="Z21" s="7"/>
      <c r="AA21" s="7"/>
    </row>
    <row r="22" spans="1:27" x14ac:dyDescent="0.25">
      <c r="A22" s="217">
        <f>'Состав ВТК'!B15</f>
        <v>0</v>
      </c>
      <c r="B22" s="290">
        <f>IFERROR(VLOOKUP($A22,Распределение!$B$13:$L$113,11,FALSE),"-")</f>
        <v>0</v>
      </c>
      <c r="C22" s="291" t="str">
        <f>IFERROR(IF(VLOOKUP($B22,Расценка!$H$3:$I$9,2,FALSE)="НС",Расценка!$T$11,Расценка!$T$12),"-")</f>
        <v>-</v>
      </c>
      <c r="D22" s="291">
        <f>IFERROR(INDEX(Распределение!$1:$1048576,MATCH($A22,Распределение!$B:$B,0),MATCH($D$8,Распределение!$9:$9,0)),"---")</f>
        <v>0</v>
      </c>
      <c r="E22" s="292">
        <f>IFERROR(SUMIFS('Трудозатраты членов ВТК'!$G$17:$G$117,'Трудозатраты членов ВТК'!$D$17:$D$117,A:A),"-")</f>
        <v>0</v>
      </c>
      <c r="F22" s="293">
        <f>IFERROR(SUMIFS('Трудозатраты членов ВТК'!$F$464:$F$713,'Трудозатраты членов ВТК'!$D$464:$D$713,A:A),"-")</f>
        <v>0</v>
      </c>
      <c r="G22" s="302"/>
      <c r="H22" s="295">
        <f t="shared" si="10"/>
        <v>0</v>
      </c>
      <c r="I22" s="296">
        <f>IFERROR(ROUND(IF('Состав ВТК'!$K15=справочник!$A$5,IF(AND('Расчет участников НИР'!$A22='Состав ВТК'!$B15,$I$10='Состав ВТК'!$I15),$F22*$D22*VLOOKUP('Расчет участников НИР'!$B22,Расценка!$C$3:$E$13,3,FALSE),0),0),2),"-")</f>
        <v>0</v>
      </c>
      <c r="J22" s="296">
        <f>IFERROR(ROUND(IF('Состав ВТК'!$K15=справочник!$A$5,IF(AND('Расчет участников НИР'!$A22='Состав ВТК'!$B15,$J$10='Состав ВТК'!$I15),$F22*$D22*VLOOKUP('Расчет участников НИР'!$B22,Расценка!$C$3:$E$13,3,FALSE),0),0),2),"-")</f>
        <v>0</v>
      </c>
      <c r="K22" s="296">
        <f>IFERROR(ROUND(IF('Состав ВТК'!$K15=справочник!$A$5,IF(AND('Расчет участников НИР'!$A22='Состав ВТК'!$B15,$K$10='Состав ВТК'!$I15),$F22*$D22*VLOOKUP('Расчет участников НИР'!$B22,Расценка!$C$3:$E$13,3,FALSE),0),0),2),"-")</f>
        <v>0</v>
      </c>
      <c r="L22" s="297"/>
      <c r="M22" s="295">
        <f t="shared" si="3"/>
        <v>0</v>
      </c>
      <c r="N22" s="298">
        <f>IFERROR(ROUND(IF('Состав ВТК'!$K15=справочник!$A$5,(IF(AND($A22='Состав ВТК'!$B15,$N$10=$C22),$F22*$D22*VLOOKUP($B22,Расценка!$H$3:$K$9,4,FALSE),0)),0),2),"-")</f>
        <v>0</v>
      </c>
      <c r="O22" s="298">
        <f>IFERROR(ROUND(IF('Состав ВТК'!$K15=справочник!$A$5,(IF(AND($A22='Состав ВТК'!$B15,$O$10=$C22),$F22*$D22*VLOOKUP($B22,Расценка!$H$3:$K$9,4,FALSE),0)),0),2),"-")</f>
        <v>0</v>
      </c>
      <c r="P22" s="299">
        <f t="shared" si="11"/>
        <v>0</v>
      </c>
      <c r="Q22" s="300">
        <f t="shared" si="4"/>
        <v>0</v>
      </c>
      <c r="R22" s="300">
        <f t="shared" si="5"/>
        <v>0</v>
      </c>
      <c r="S22" s="295">
        <f t="shared" si="6"/>
        <v>0</v>
      </c>
      <c r="T22" s="298">
        <f>IFERROR(ROUND(IF(AND('Расчет участников НИР'!$A22='Состав ВТК'!$B15,'Расчет участников НИР'!$T$10='Состав ВТК'!$I15),$E22,0),2),"-")</f>
        <v>0</v>
      </c>
      <c r="U22" s="298">
        <f>IFERROR(ROUND(IF(AND('Расчет участников НИР'!$A22='Состав ВТК'!$B15,'Расчет участников НИР'!$U$10='Состав ВТК'!$I15),$E22,0),2),"-")</f>
        <v>0</v>
      </c>
      <c r="V22" s="298">
        <f>IFERROR(ROUND(IF(AND('Расчет участников НИР'!$A22='Состав ВТК'!$B15,'Расчет участников НИР'!$V$10='Состав ВТК'!$I15),$E22,0),2),"-")</f>
        <v>0</v>
      </c>
      <c r="W22" s="301" t="str">
        <f t="shared" si="7"/>
        <v>-</v>
      </c>
      <c r="X22" s="301" t="str">
        <f t="shared" si="8"/>
        <v>-</v>
      </c>
      <c r="Y22" s="301" t="str">
        <f t="shared" si="9"/>
        <v>-</v>
      </c>
      <c r="Z22" s="7"/>
      <c r="AA22" s="7"/>
    </row>
    <row r="23" spans="1:27" x14ac:dyDescent="0.25">
      <c r="A23" s="217">
        <f>'Состав ВТК'!B16</f>
        <v>0</v>
      </c>
      <c r="B23" s="290">
        <f>IFERROR(VLOOKUP($A23,Распределение!$B$13:$L$113,11,FALSE),"-")</f>
        <v>0</v>
      </c>
      <c r="C23" s="291" t="str">
        <f>IFERROR(IF(VLOOKUP($B23,Расценка!$H$3:$I$9,2,FALSE)="НС",Расценка!$T$11,Расценка!$T$12),"-")</f>
        <v>-</v>
      </c>
      <c r="D23" s="291">
        <f>IFERROR(INDEX(Распределение!$1:$1048576,MATCH($A23,Распределение!$B:$B,0),MATCH($D$8,Распределение!$9:$9,0)),"---")</f>
        <v>0</v>
      </c>
      <c r="E23" s="292">
        <f>IFERROR(SUMIFS('Трудозатраты членов ВТК'!$G$17:$G$117,'Трудозатраты членов ВТК'!$D$17:$D$117,A:A),"-")</f>
        <v>0</v>
      </c>
      <c r="F23" s="293">
        <f>IFERROR(SUMIFS('Трудозатраты членов ВТК'!$F$464:$F$713,'Трудозатраты членов ВТК'!$D$464:$D$713,A:A),"-")</f>
        <v>0</v>
      </c>
      <c r="G23" s="302"/>
      <c r="H23" s="295">
        <f t="shared" si="10"/>
        <v>0</v>
      </c>
      <c r="I23" s="296">
        <f>IFERROR(ROUND(IF('Состав ВТК'!$K16=справочник!$A$5,IF(AND('Расчет участников НИР'!$A23='Состав ВТК'!$B16,$I$10='Состав ВТК'!$I16),$F23*$D23*VLOOKUP('Расчет участников НИР'!$B23,Расценка!$C$3:$E$13,3,FALSE),0),0),2),"-")</f>
        <v>0</v>
      </c>
      <c r="J23" s="296">
        <f>IFERROR(ROUND(IF('Состав ВТК'!$K16=справочник!$A$5,IF(AND('Расчет участников НИР'!$A23='Состав ВТК'!$B16,$J$10='Состав ВТК'!$I16),$F23*$D23*VLOOKUP('Расчет участников НИР'!$B23,Расценка!$C$3:$E$13,3,FALSE),0),0),2),"-")</f>
        <v>0</v>
      </c>
      <c r="K23" s="296">
        <f>IFERROR(ROUND(IF('Состав ВТК'!$K16=справочник!$A$5,IF(AND('Расчет участников НИР'!$A23='Состав ВТК'!$B16,$K$10='Состав ВТК'!$I16),$F23*$D23*VLOOKUP('Расчет участников НИР'!$B23,Расценка!$C$3:$E$13,3,FALSE),0),0),2),"-")</f>
        <v>0</v>
      </c>
      <c r="L23" s="297"/>
      <c r="M23" s="295">
        <f t="shared" si="3"/>
        <v>0</v>
      </c>
      <c r="N23" s="298">
        <f>IFERROR(ROUND(IF('Состав ВТК'!$K16=справочник!$A$5,(IF(AND($A23='Состав ВТК'!$B16,$N$10=$C23),$F23*$D23*VLOOKUP($B23,Расценка!$H$3:$K$9,4,FALSE),0)),0),2),"-")</f>
        <v>0</v>
      </c>
      <c r="O23" s="298">
        <f>IFERROR(ROUND(IF('Состав ВТК'!$K16=справочник!$A$5,(IF(AND($A23='Состав ВТК'!$B16,$O$10=$C23),$F23*$D23*VLOOKUP($B23,Расценка!$H$3:$K$9,4,FALSE),0)),0),2),"-")</f>
        <v>0</v>
      </c>
      <c r="P23" s="299">
        <f t="shared" si="11"/>
        <v>0</v>
      </c>
      <c r="Q23" s="300">
        <f t="shared" si="4"/>
        <v>0</v>
      </c>
      <c r="R23" s="300">
        <f t="shared" si="5"/>
        <v>0</v>
      </c>
      <c r="S23" s="295">
        <f t="shared" si="6"/>
        <v>0</v>
      </c>
      <c r="T23" s="298">
        <f>IFERROR(ROUND(IF(AND('Расчет участников НИР'!$A23='Состав ВТК'!$B16,'Расчет участников НИР'!$T$10='Состав ВТК'!$I16),$E23,0),2),"-")</f>
        <v>0</v>
      </c>
      <c r="U23" s="298">
        <f>IFERROR(ROUND(IF(AND('Расчет участников НИР'!$A23='Состав ВТК'!$B16,'Расчет участников НИР'!$U$10='Состав ВТК'!$I16),$E23,0),2),"-")</f>
        <v>0</v>
      </c>
      <c r="V23" s="298">
        <f>IFERROR(ROUND(IF(AND('Расчет участников НИР'!$A23='Состав ВТК'!$B16,'Расчет участников НИР'!$V$10='Состав ВТК'!$I16),$E23,0),2),"-")</f>
        <v>0</v>
      </c>
      <c r="W23" s="301" t="str">
        <f t="shared" si="7"/>
        <v>-</v>
      </c>
      <c r="X23" s="301" t="str">
        <f t="shared" si="8"/>
        <v>-</v>
      </c>
      <c r="Y23" s="301" t="str">
        <f t="shared" si="9"/>
        <v>-</v>
      </c>
    </row>
    <row r="24" spans="1:27" x14ac:dyDescent="0.25">
      <c r="A24" s="217">
        <f>'Состав ВТК'!B17</f>
        <v>0</v>
      </c>
      <c r="B24" s="290">
        <f>IFERROR(VLOOKUP($A24,Распределение!$B$13:$L$113,11,FALSE),"-")</f>
        <v>0</v>
      </c>
      <c r="C24" s="291" t="str">
        <f>IFERROR(IF(VLOOKUP($B24,Расценка!$H$3:$I$9,2,FALSE)="НС",Расценка!$T$11,Расценка!$T$12),"-")</f>
        <v>-</v>
      </c>
      <c r="D24" s="291">
        <f>IFERROR(INDEX(Распределение!$1:$1048576,MATCH($A24,Распределение!$B:$B,0),MATCH($D$8,Распределение!$9:$9,0)),"---")</f>
        <v>0</v>
      </c>
      <c r="E24" s="292">
        <f>IFERROR(SUMIFS('Трудозатраты членов ВТК'!$G$17:$G$117,'Трудозатраты членов ВТК'!$D$17:$D$117,A:A),"-")</f>
        <v>0</v>
      </c>
      <c r="F24" s="293">
        <f>IFERROR(SUMIFS('Трудозатраты членов ВТК'!$F$464:$F$713,'Трудозатраты членов ВТК'!$D$464:$D$713,A:A),"-")</f>
        <v>0</v>
      </c>
      <c r="G24" s="302"/>
      <c r="H24" s="295">
        <f t="shared" si="10"/>
        <v>0</v>
      </c>
      <c r="I24" s="296">
        <f>IFERROR(ROUND(IF('Состав ВТК'!$K17=справочник!$A$5,IF(AND('Расчет участников НИР'!$A24='Состав ВТК'!$B17,$I$10='Состав ВТК'!$I17),$F24*$D24*VLOOKUP('Расчет участников НИР'!$B24,Расценка!$C$3:$E$13,3,FALSE),0),0),2),"-")</f>
        <v>0</v>
      </c>
      <c r="J24" s="296">
        <f>IFERROR(ROUND(IF('Состав ВТК'!$K17=справочник!$A$5,IF(AND('Расчет участников НИР'!$A24='Состав ВТК'!$B17,$J$10='Состав ВТК'!$I17),$F24*$D24*VLOOKUP('Расчет участников НИР'!$B24,Расценка!$C$3:$E$13,3,FALSE),0),0),2),"-")</f>
        <v>0</v>
      </c>
      <c r="K24" s="296">
        <f>IFERROR(ROUND(IF('Состав ВТК'!$K17=справочник!$A$5,IF(AND('Расчет участников НИР'!$A24='Состав ВТК'!$B17,$K$10='Состав ВТК'!$I17),$F24*$D24*VLOOKUP('Расчет участников НИР'!$B24,Расценка!$C$3:$E$13,3,FALSE),0),0),2),"-")</f>
        <v>0</v>
      </c>
      <c r="L24" s="297"/>
      <c r="M24" s="295">
        <f t="shared" si="3"/>
        <v>0</v>
      </c>
      <c r="N24" s="298">
        <f>IFERROR(ROUND(IF('Состав ВТК'!$K17=справочник!$A$5,(IF(AND($A24='Состав ВТК'!$B17,$N$10=$C24),$F24*$D24*VLOOKUP($B24,Расценка!$H$3:$K$9,4,FALSE),0)),0),2),"-")</f>
        <v>0</v>
      </c>
      <c r="O24" s="298">
        <f>IFERROR(ROUND(IF('Состав ВТК'!$K17=справочник!$A$5,(IF(AND($A24='Состав ВТК'!$B17,$O$10=$C24),$F24*$D24*VLOOKUP($B24,Расценка!$H$3:$K$9,4,FALSE),0)),0),2),"-")</f>
        <v>0</v>
      </c>
      <c r="P24" s="299">
        <f t="shared" si="11"/>
        <v>0</v>
      </c>
      <c r="Q24" s="300">
        <f t="shared" si="4"/>
        <v>0</v>
      </c>
      <c r="R24" s="300">
        <f t="shared" si="5"/>
        <v>0</v>
      </c>
      <c r="S24" s="295">
        <f t="shared" si="6"/>
        <v>0</v>
      </c>
      <c r="T24" s="298">
        <f>IFERROR(ROUND(IF(AND('Расчет участников НИР'!$A24='Состав ВТК'!$B17,'Расчет участников НИР'!$T$10='Состав ВТК'!$I17),$E24,0),2),"-")</f>
        <v>0</v>
      </c>
      <c r="U24" s="298">
        <f>IFERROR(ROUND(IF(AND('Расчет участников НИР'!$A24='Состав ВТК'!$B17,'Расчет участников НИР'!$U$10='Состав ВТК'!$I17),$E24,0),2),"-")</f>
        <v>0</v>
      </c>
      <c r="V24" s="298">
        <f>IFERROR(ROUND(IF(AND('Расчет участников НИР'!$A24='Состав ВТК'!$B17,'Расчет участников НИР'!$V$10='Состав ВТК'!$I17),$E24,0),2),"-")</f>
        <v>0</v>
      </c>
      <c r="W24" s="301" t="str">
        <f t="shared" si="7"/>
        <v>-</v>
      </c>
      <c r="X24" s="301" t="str">
        <f t="shared" si="8"/>
        <v>-</v>
      </c>
      <c r="Y24" s="301" t="str">
        <f t="shared" si="9"/>
        <v>-</v>
      </c>
    </row>
    <row r="25" spans="1:27" x14ac:dyDescent="0.25">
      <c r="A25" s="217">
        <f>'Состав ВТК'!B18</f>
        <v>0</v>
      </c>
      <c r="B25" s="290">
        <f>IFERROR(VLOOKUP($A25,Распределение!$B$13:$L$113,11,FALSE),"-")</f>
        <v>0</v>
      </c>
      <c r="C25" s="291" t="str">
        <f>IFERROR(IF(VLOOKUP($B25,Расценка!$H$3:$I$9,2,FALSE)="НС",Расценка!$T$11,Расценка!$T$12),"-")</f>
        <v>-</v>
      </c>
      <c r="D25" s="291">
        <f>IFERROR(INDEX(Распределение!$1:$1048576,MATCH($A25,Распределение!$B:$B,0),MATCH($D$8,Распределение!$9:$9,0)),"---")</f>
        <v>0</v>
      </c>
      <c r="E25" s="292">
        <f>IFERROR(SUMIFS('Трудозатраты членов ВТК'!$G$17:$G$117,'Трудозатраты членов ВТК'!$D$17:$D$117,A:A),"-")</f>
        <v>0</v>
      </c>
      <c r="F25" s="293">
        <f>IFERROR(SUMIFS('Трудозатраты членов ВТК'!$F$464:$F$713,'Трудозатраты членов ВТК'!$D$464:$D$713,A:A),"-")</f>
        <v>0</v>
      </c>
      <c r="G25" s="302"/>
      <c r="H25" s="295">
        <f t="shared" si="10"/>
        <v>0</v>
      </c>
      <c r="I25" s="296">
        <f>IFERROR(ROUND(IF('Состав ВТК'!$K18=справочник!$A$5,IF(AND('Расчет участников НИР'!$A25='Состав ВТК'!$B18,$I$10='Состав ВТК'!$I18),$F25*$D25*VLOOKUP('Расчет участников НИР'!$B25,Расценка!$C$3:$E$13,3,FALSE),0),0),2),"-")</f>
        <v>0</v>
      </c>
      <c r="J25" s="296">
        <f>IFERROR(ROUND(IF('Состав ВТК'!$K18=справочник!$A$5,IF(AND('Расчет участников НИР'!$A25='Состав ВТК'!$B18,$J$10='Состав ВТК'!$I18),$F25*$D25*VLOOKUP('Расчет участников НИР'!$B25,Расценка!$C$3:$E$13,3,FALSE),0),0),2),"-")</f>
        <v>0</v>
      </c>
      <c r="K25" s="296">
        <f>IFERROR(ROUND(IF('Состав ВТК'!$K18=справочник!$A$5,IF(AND('Расчет участников НИР'!$A25='Состав ВТК'!$B18,$K$10='Состав ВТК'!$I18),$F25*$D25*VLOOKUP('Расчет участников НИР'!$B25,Расценка!$C$3:$E$13,3,FALSE),0),0),2),"-")</f>
        <v>0</v>
      </c>
      <c r="L25" s="297"/>
      <c r="M25" s="295">
        <f t="shared" si="3"/>
        <v>0</v>
      </c>
      <c r="N25" s="298">
        <f>IFERROR(ROUND(IF('Состав ВТК'!$K18=справочник!$A$5,(IF(AND($A25='Состав ВТК'!$B18,$N$10=$C25),$F25*$D25*VLOOKUP($B25,Расценка!$H$3:$K$9,4,FALSE),0)),0),2),"-")</f>
        <v>0</v>
      </c>
      <c r="O25" s="298">
        <f>IFERROR(ROUND(IF('Состав ВТК'!$K18=справочник!$A$5,(IF(AND($A25='Состав ВТК'!$B18,$O$10=$C25),$F25*$D25*VLOOKUP($B25,Расценка!$H$3:$K$9,4,FALSE),0)),0),2),"-")</f>
        <v>0</v>
      </c>
      <c r="P25" s="299">
        <f t="shared" si="11"/>
        <v>0</v>
      </c>
      <c r="Q25" s="300">
        <f t="shared" si="4"/>
        <v>0</v>
      </c>
      <c r="R25" s="300">
        <f t="shared" si="5"/>
        <v>0</v>
      </c>
      <c r="S25" s="295">
        <f t="shared" si="6"/>
        <v>0</v>
      </c>
      <c r="T25" s="298">
        <f>IFERROR(ROUND(IF(AND('Расчет участников НИР'!$A25='Состав ВТК'!$B18,'Расчет участников НИР'!$T$10='Состав ВТК'!$I18),$E25,0),2),"-")</f>
        <v>0</v>
      </c>
      <c r="U25" s="298">
        <f>IFERROR(ROUND(IF(AND('Расчет участников НИР'!$A25='Состав ВТК'!$B18,'Расчет участников НИР'!$U$10='Состав ВТК'!$I18),$E25,0),2),"-")</f>
        <v>0</v>
      </c>
      <c r="V25" s="298">
        <f>IFERROR(ROUND(IF(AND('Расчет участников НИР'!$A25='Состав ВТК'!$B18,'Расчет участников НИР'!$V$10='Состав ВТК'!$I18),$E25,0),2),"-")</f>
        <v>0</v>
      </c>
      <c r="W25" s="301" t="str">
        <f t="shared" si="7"/>
        <v>-</v>
      </c>
      <c r="X25" s="301" t="str">
        <f t="shared" si="8"/>
        <v>-</v>
      </c>
      <c r="Y25" s="301" t="str">
        <f t="shared" si="9"/>
        <v>-</v>
      </c>
    </row>
    <row r="26" spans="1:27" x14ac:dyDescent="0.25">
      <c r="A26" s="217">
        <f>'Состав ВТК'!B19</f>
        <v>0</v>
      </c>
      <c r="B26" s="290">
        <f>IFERROR(VLOOKUP($A26,Распределение!$B$13:$L$113,11,FALSE),"-")</f>
        <v>0</v>
      </c>
      <c r="C26" s="291" t="str">
        <f>IFERROR(IF(VLOOKUP($B26,Расценка!$H$3:$I$9,2,FALSE)="НС",Расценка!$T$11,Расценка!$T$12),"-")</f>
        <v>-</v>
      </c>
      <c r="D26" s="291">
        <f>IFERROR(INDEX(Распределение!$1:$1048576,MATCH($A26,Распределение!$B:$B,0),MATCH($D$8,Распределение!$9:$9,0)),"---")</f>
        <v>0</v>
      </c>
      <c r="E26" s="292">
        <f>IFERROR(SUMIFS('Трудозатраты членов ВТК'!$G$17:$G$117,'Трудозатраты членов ВТК'!$D$17:$D$117,A:A),"-")</f>
        <v>0</v>
      </c>
      <c r="F26" s="293">
        <f>IFERROR(SUMIFS('Трудозатраты членов ВТК'!$F$464:$F$713,'Трудозатраты членов ВТК'!$D$464:$D$713,A:A),"-")</f>
        <v>0</v>
      </c>
      <c r="G26" s="302"/>
      <c r="H26" s="295">
        <f t="shared" si="10"/>
        <v>0</v>
      </c>
      <c r="I26" s="296">
        <f>IFERROR(ROUND(IF('Состав ВТК'!$K19=справочник!$A$5,IF(AND('Расчет участников НИР'!$A26='Состав ВТК'!$B19,$I$10='Состав ВТК'!$I19),$F26*$D26*VLOOKUP('Расчет участников НИР'!$B26,Расценка!$C$3:$E$13,3,FALSE),0),0),2),"-")</f>
        <v>0</v>
      </c>
      <c r="J26" s="296">
        <f>IFERROR(ROUND(IF('Состав ВТК'!$K19=справочник!$A$5,IF(AND('Расчет участников НИР'!$A26='Состав ВТК'!$B19,$J$10='Состав ВТК'!$I19),$F26*$D26*VLOOKUP('Расчет участников НИР'!$B26,Расценка!$C$3:$E$13,3,FALSE),0),0),2),"-")</f>
        <v>0</v>
      </c>
      <c r="K26" s="296">
        <f>IFERROR(ROUND(IF('Состав ВТК'!$K19=справочник!$A$5,IF(AND('Расчет участников НИР'!$A26='Состав ВТК'!$B19,$K$10='Состав ВТК'!$I19),$F26*$D26*VLOOKUP('Расчет участников НИР'!$B26,Расценка!$C$3:$E$13,3,FALSE),0),0),2),"-")</f>
        <v>0</v>
      </c>
      <c r="L26" s="297"/>
      <c r="M26" s="295">
        <f t="shared" si="3"/>
        <v>0</v>
      </c>
      <c r="N26" s="298">
        <f>IFERROR(ROUND(IF('Состав ВТК'!$K19=справочник!$A$5,(IF(AND($A26='Состав ВТК'!$B19,$N$10=$C26),$F26*$D26*VLOOKUP($B26,Расценка!$H$3:$K$9,4,FALSE),0)),0),2),"-")</f>
        <v>0</v>
      </c>
      <c r="O26" s="298">
        <f>IFERROR(ROUND(IF('Состав ВТК'!$K19=справочник!$A$5,(IF(AND($A26='Состав ВТК'!$B19,$O$10=$C26),$F26*$D26*VLOOKUP($B26,Расценка!$H$3:$K$9,4,FALSE),0)),0),2),"-")</f>
        <v>0</v>
      </c>
      <c r="P26" s="299">
        <f t="shared" si="11"/>
        <v>0</v>
      </c>
      <c r="Q26" s="300">
        <f t="shared" si="4"/>
        <v>0</v>
      </c>
      <c r="R26" s="300">
        <f t="shared" si="5"/>
        <v>0</v>
      </c>
      <c r="S26" s="295">
        <f t="shared" si="6"/>
        <v>0</v>
      </c>
      <c r="T26" s="298">
        <f>IFERROR(ROUND(IF(AND('Расчет участников НИР'!$A26='Состав ВТК'!$B19,'Расчет участников НИР'!$T$10='Состав ВТК'!$I19),$E26,0),2),"-")</f>
        <v>0</v>
      </c>
      <c r="U26" s="298">
        <f>IFERROR(ROUND(IF(AND('Расчет участников НИР'!$A26='Состав ВТК'!$B19,'Расчет участников НИР'!$U$10='Состав ВТК'!$I19),$E26,0),2),"-")</f>
        <v>0</v>
      </c>
      <c r="V26" s="298">
        <f>IFERROR(ROUND(IF(AND('Расчет участников НИР'!$A26='Состав ВТК'!$B19,'Расчет участников НИР'!$V$10='Состав ВТК'!$I19),$E26,0),2),"-")</f>
        <v>0</v>
      </c>
      <c r="W26" s="301" t="str">
        <f t="shared" si="7"/>
        <v>-</v>
      </c>
      <c r="X26" s="301" t="str">
        <f t="shared" si="8"/>
        <v>-</v>
      </c>
      <c r="Y26" s="301" t="str">
        <f t="shared" si="9"/>
        <v>-</v>
      </c>
    </row>
    <row r="27" spans="1:27" x14ac:dyDescent="0.25">
      <c r="A27" s="217">
        <f>'Состав ВТК'!B20</f>
        <v>0</v>
      </c>
      <c r="B27" s="290">
        <f>IFERROR(VLOOKUP($A27,Распределение!$B$13:$L$113,11,FALSE),"-")</f>
        <v>0</v>
      </c>
      <c r="C27" s="291" t="str">
        <f>IFERROR(IF(VLOOKUP($B27,Расценка!$H$3:$I$9,2,FALSE)="НС",Расценка!$T$11,Расценка!$T$12),"-")</f>
        <v>-</v>
      </c>
      <c r="D27" s="291">
        <f>IFERROR(INDEX(Распределение!$1:$1048576,MATCH($A27,Распределение!$B:$B,0),MATCH($D$8,Распределение!$9:$9,0)),"---")</f>
        <v>0</v>
      </c>
      <c r="E27" s="292">
        <f>IFERROR(SUMIFS('Трудозатраты членов ВТК'!$G$17:$G$117,'Трудозатраты членов ВТК'!$D$17:$D$117,A:A),"-")</f>
        <v>0</v>
      </c>
      <c r="F27" s="293">
        <f>IFERROR(SUMIFS('Трудозатраты членов ВТК'!$F$464:$F$713,'Трудозатраты членов ВТК'!$D$464:$D$713,A:A),"-")</f>
        <v>0</v>
      </c>
      <c r="G27" s="302"/>
      <c r="H27" s="295">
        <f t="shared" si="10"/>
        <v>0</v>
      </c>
      <c r="I27" s="296">
        <f>IFERROR(ROUND(IF('Состав ВТК'!$K20=справочник!$A$5,IF(AND('Расчет участников НИР'!$A27='Состав ВТК'!$B20,$I$10='Состав ВТК'!$I20),$F27*$D27*VLOOKUP('Расчет участников НИР'!$B27,Расценка!$C$3:$E$13,3,FALSE),0),0),2),"-")</f>
        <v>0</v>
      </c>
      <c r="J27" s="296">
        <f>IFERROR(ROUND(IF('Состав ВТК'!$K20=справочник!$A$5,IF(AND('Расчет участников НИР'!$A27='Состав ВТК'!$B20,$J$10='Состав ВТК'!$I20),$F27*$D27*VLOOKUP('Расчет участников НИР'!$B27,Расценка!$C$3:$E$13,3,FALSE),0),0),2),"-")</f>
        <v>0</v>
      </c>
      <c r="K27" s="296">
        <f>IFERROR(ROUND(IF('Состав ВТК'!$K20=справочник!$A$5,IF(AND('Расчет участников НИР'!$A27='Состав ВТК'!$B20,$K$10='Состав ВТК'!$I20),$F27*$D27*VLOOKUP('Расчет участников НИР'!$B27,Расценка!$C$3:$E$13,3,FALSE),0),0),2),"-")</f>
        <v>0</v>
      </c>
      <c r="L27" s="297"/>
      <c r="M27" s="295">
        <f t="shared" si="3"/>
        <v>0</v>
      </c>
      <c r="N27" s="298">
        <f>IFERROR(ROUND(IF('Состав ВТК'!$K20=справочник!$A$5,(IF(AND($A27='Состав ВТК'!$B20,$N$10=$C27),$F27*$D27*VLOOKUP($B27,Расценка!$H$3:$K$9,4,FALSE),0)),0),2),"-")</f>
        <v>0</v>
      </c>
      <c r="O27" s="298">
        <f>IFERROR(ROUND(IF('Состав ВТК'!$K20=справочник!$A$5,(IF(AND($A27='Состав ВТК'!$B20,$O$10=$C27),$F27*$D27*VLOOKUP($B27,Расценка!$H$3:$K$9,4,FALSE),0)),0),2),"-")</f>
        <v>0</v>
      </c>
      <c r="P27" s="299">
        <f t="shared" si="11"/>
        <v>0</v>
      </c>
      <c r="Q27" s="300">
        <f t="shared" si="4"/>
        <v>0</v>
      </c>
      <c r="R27" s="300">
        <f t="shared" si="5"/>
        <v>0</v>
      </c>
      <c r="S27" s="295">
        <f t="shared" si="6"/>
        <v>0</v>
      </c>
      <c r="T27" s="298">
        <f>IFERROR(ROUND(IF(AND('Расчет участников НИР'!$A27='Состав ВТК'!$B20,'Расчет участников НИР'!$T$10='Состав ВТК'!$I20),$E27,0),2),"-")</f>
        <v>0</v>
      </c>
      <c r="U27" s="298">
        <f>IFERROR(ROUND(IF(AND('Расчет участников НИР'!$A27='Состав ВТК'!$B20,'Расчет участников НИР'!$U$10='Состав ВТК'!$I20),$E27,0),2),"-")</f>
        <v>0</v>
      </c>
      <c r="V27" s="298">
        <f>IFERROR(ROUND(IF(AND('Расчет участников НИР'!$A27='Состав ВТК'!$B20,'Расчет участников НИР'!$V$10='Состав ВТК'!$I20),$E27,0),2),"-")</f>
        <v>0</v>
      </c>
      <c r="W27" s="301" t="str">
        <f t="shared" si="7"/>
        <v>-</v>
      </c>
      <c r="X27" s="301" t="str">
        <f t="shared" si="8"/>
        <v>-</v>
      </c>
      <c r="Y27" s="301" t="str">
        <f t="shared" si="9"/>
        <v>-</v>
      </c>
    </row>
    <row r="28" spans="1:27" x14ac:dyDescent="0.25">
      <c r="A28" s="217">
        <f>'Состав ВТК'!B21</f>
        <v>0</v>
      </c>
      <c r="B28" s="290">
        <f>IFERROR(VLOOKUP($A28,Распределение!$B$13:$L$113,11,FALSE),"-")</f>
        <v>0</v>
      </c>
      <c r="C28" s="291" t="str">
        <f>IFERROR(IF(VLOOKUP($B28,Расценка!$H$3:$I$9,2,FALSE)="НС",Расценка!$T$11,Расценка!$T$12),"-")</f>
        <v>-</v>
      </c>
      <c r="D28" s="291">
        <f>IFERROR(INDEX(Распределение!$1:$1048576,MATCH($A28,Распределение!$B:$B,0),MATCH($D$8,Распределение!$9:$9,0)),"---")</f>
        <v>0</v>
      </c>
      <c r="E28" s="292">
        <f>IFERROR(SUMIFS('Трудозатраты членов ВТК'!$G$17:$G$117,'Трудозатраты членов ВТК'!$D$17:$D$117,A:A),"-")</f>
        <v>0</v>
      </c>
      <c r="F28" s="293">
        <f>IFERROR(SUMIFS('Трудозатраты членов ВТК'!$F$464:$F$713,'Трудозатраты членов ВТК'!$D$464:$D$713,A:A),"-")</f>
        <v>0</v>
      </c>
      <c r="G28" s="302"/>
      <c r="H28" s="295">
        <f t="shared" si="10"/>
        <v>0</v>
      </c>
      <c r="I28" s="296">
        <f>IFERROR(ROUND(IF('Состав ВТК'!$K21=справочник!$A$5,IF(AND('Расчет участников НИР'!$A28='Состав ВТК'!$B21,$I$10='Состав ВТК'!$I21),$F28*$D28*VLOOKUP('Расчет участников НИР'!$B28,Расценка!$C$3:$E$13,3,FALSE),0),0),2),"-")</f>
        <v>0</v>
      </c>
      <c r="J28" s="296">
        <f>IFERROR(ROUND(IF('Состав ВТК'!$K21=справочник!$A$5,IF(AND('Расчет участников НИР'!$A28='Состав ВТК'!$B21,$J$10='Состав ВТК'!$I21),$F28*$D28*VLOOKUP('Расчет участников НИР'!$B28,Расценка!$C$3:$E$13,3,FALSE),0),0),2),"-")</f>
        <v>0</v>
      </c>
      <c r="K28" s="296">
        <f>IFERROR(ROUND(IF('Состав ВТК'!$K21=справочник!$A$5,IF(AND('Расчет участников НИР'!$A28='Состав ВТК'!$B21,$K$10='Состав ВТК'!$I21),$F28*$D28*VLOOKUP('Расчет участников НИР'!$B28,Расценка!$C$3:$E$13,3,FALSE),0),0),2),"-")</f>
        <v>0</v>
      </c>
      <c r="L28" s="297"/>
      <c r="M28" s="295">
        <f t="shared" si="3"/>
        <v>0</v>
      </c>
      <c r="N28" s="298">
        <f>IFERROR(ROUND(IF('Состав ВТК'!$K21=справочник!$A$5,(IF(AND($A28='Состав ВТК'!$B21,$N$10=$C28),$F28*$D28*VLOOKUP($B28,Расценка!$H$3:$K$9,4,FALSE),0)),0),2),"-")</f>
        <v>0</v>
      </c>
      <c r="O28" s="298">
        <f>IFERROR(ROUND(IF('Состав ВТК'!$K21=справочник!$A$5,(IF(AND($A28='Состав ВТК'!$B21,$O$10=$C28),$F28*$D28*VLOOKUP($B28,Расценка!$H$3:$K$9,4,FALSE),0)),0),2),"-")</f>
        <v>0</v>
      </c>
      <c r="P28" s="299">
        <f t="shared" si="11"/>
        <v>0</v>
      </c>
      <c r="Q28" s="300">
        <f t="shared" si="4"/>
        <v>0</v>
      </c>
      <c r="R28" s="300">
        <f t="shared" si="5"/>
        <v>0</v>
      </c>
      <c r="S28" s="295">
        <f t="shared" si="6"/>
        <v>0</v>
      </c>
      <c r="T28" s="298">
        <f>IFERROR(ROUND(IF(AND('Расчет участников НИР'!$A28='Состав ВТК'!$B21,'Расчет участников НИР'!$T$10='Состав ВТК'!$I21),$E28,0),2),"-")</f>
        <v>0</v>
      </c>
      <c r="U28" s="298">
        <f>IFERROR(ROUND(IF(AND('Расчет участников НИР'!$A28='Состав ВТК'!$B21,'Расчет участников НИР'!$U$10='Состав ВТК'!$I21),$E28,0),2),"-")</f>
        <v>0</v>
      </c>
      <c r="V28" s="298">
        <f>IFERROR(ROUND(IF(AND('Расчет участников НИР'!$A28='Состав ВТК'!$B21,'Расчет участников НИР'!$V$10='Состав ВТК'!$I21),$E28,0),2),"-")</f>
        <v>0</v>
      </c>
      <c r="W28" s="301" t="str">
        <f t="shared" si="7"/>
        <v>-</v>
      </c>
      <c r="X28" s="301" t="str">
        <f t="shared" si="8"/>
        <v>-</v>
      </c>
      <c r="Y28" s="301" t="str">
        <f t="shared" si="9"/>
        <v>-</v>
      </c>
    </row>
    <row r="29" spans="1:27" x14ac:dyDescent="0.25">
      <c r="A29" s="217">
        <f>'Состав ВТК'!B22</f>
        <v>0</v>
      </c>
      <c r="B29" s="290">
        <f>IFERROR(VLOOKUP($A29,Распределение!$B$13:$L$113,11,FALSE),"-")</f>
        <v>0</v>
      </c>
      <c r="C29" s="291" t="str">
        <f>IFERROR(IF(VLOOKUP($B29,Расценка!$H$3:$I$9,2,FALSE)="НС",Расценка!$T$11,Расценка!$T$12),"-")</f>
        <v>-</v>
      </c>
      <c r="D29" s="291">
        <f>IFERROR(INDEX(Распределение!$1:$1048576,MATCH($A29,Распределение!$B:$B,0),MATCH($D$8,Распределение!$9:$9,0)),"---")</f>
        <v>0</v>
      </c>
      <c r="E29" s="292">
        <f>IFERROR(SUMIFS('Трудозатраты членов ВТК'!$G$17:$G$117,'Трудозатраты членов ВТК'!$D$17:$D$117,A:A),"-")</f>
        <v>0</v>
      </c>
      <c r="F29" s="293">
        <f>IFERROR(SUMIFS('Трудозатраты членов ВТК'!$F$464:$F$713,'Трудозатраты членов ВТК'!$D$464:$D$713,A:A),"-")</f>
        <v>0</v>
      </c>
      <c r="G29" s="302"/>
      <c r="H29" s="295">
        <f t="shared" si="10"/>
        <v>0</v>
      </c>
      <c r="I29" s="296">
        <f>IFERROR(ROUND(IF('Состав ВТК'!$K22=справочник!$A$5,IF(AND('Расчет участников НИР'!$A29='Состав ВТК'!$B22,$I$10='Состав ВТК'!$I22),$F29*$D29*VLOOKUP('Расчет участников НИР'!$B29,Расценка!$C$3:$E$13,3,FALSE),0),0),2),"-")</f>
        <v>0</v>
      </c>
      <c r="J29" s="296">
        <f>IFERROR(ROUND(IF('Состав ВТК'!$K22=справочник!$A$5,IF(AND('Расчет участников НИР'!$A29='Состав ВТК'!$B22,$J$10='Состав ВТК'!$I22),$F29*$D29*VLOOKUP('Расчет участников НИР'!$B29,Расценка!$C$3:$E$13,3,FALSE),0),0),2),"-")</f>
        <v>0</v>
      </c>
      <c r="K29" s="296">
        <f>IFERROR(ROUND(IF('Состав ВТК'!$K22=справочник!$A$5,IF(AND('Расчет участников НИР'!$A29='Состав ВТК'!$B22,$K$10='Состав ВТК'!$I22),$F29*$D29*VLOOKUP('Расчет участников НИР'!$B29,Расценка!$C$3:$E$13,3,FALSE),0),0),2),"-")</f>
        <v>0</v>
      </c>
      <c r="L29" s="297"/>
      <c r="M29" s="295">
        <f t="shared" si="3"/>
        <v>0</v>
      </c>
      <c r="N29" s="298">
        <f>IFERROR(ROUND(IF('Состав ВТК'!$K22=справочник!$A$5,(IF(AND($A29='Состав ВТК'!$B22,$N$10=$C29),$F29*$D29*VLOOKUP($B29,Расценка!$H$3:$K$9,4,FALSE),0)),0),2),"-")</f>
        <v>0</v>
      </c>
      <c r="O29" s="298">
        <f>IFERROR(ROUND(IF('Состав ВТК'!$K22=справочник!$A$5,(IF(AND($A29='Состав ВТК'!$B22,$O$10=$C29),$F29*$D29*VLOOKUP($B29,Расценка!$H$3:$K$9,4,FALSE),0)),0),2),"-")</f>
        <v>0</v>
      </c>
      <c r="P29" s="299">
        <f t="shared" si="11"/>
        <v>0</v>
      </c>
      <c r="Q29" s="300">
        <f t="shared" si="4"/>
        <v>0</v>
      </c>
      <c r="R29" s="300">
        <f t="shared" si="5"/>
        <v>0</v>
      </c>
      <c r="S29" s="295">
        <f t="shared" si="6"/>
        <v>0</v>
      </c>
      <c r="T29" s="298">
        <f>IFERROR(ROUND(IF(AND('Расчет участников НИР'!$A29='Состав ВТК'!$B22,'Расчет участников НИР'!$T$10='Состав ВТК'!$I22),$E29,0),2),"-")</f>
        <v>0</v>
      </c>
      <c r="U29" s="298">
        <f>IFERROR(ROUND(IF(AND('Расчет участников НИР'!$A29='Состав ВТК'!$B22,'Расчет участников НИР'!$U$10='Состав ВТК'!$I22),$E29,0),2),"-")</f>
        <v>0</v>
      </c>
      <c r="V29" s="298">
        <f>IFERROR(ROUND(IF(AND('Расчет участников НИР'!$A29='Состав ВТК'!$B22,'Расчет участников НИР'!$V$10='Состав ВТК'!$I22),$E29,0),2),"-")</f>
        <v>0</v>
      </c>
      <c r="W29" s="301" t="str">
        <f t="shared" si="7"/>
        <v>-</v>
      </c>
      <c r="X29" s="301" t="str">
        <f t="shared" si="8"/>
        <v>-</v>
      </c>
      <c r="Y29" s="301" t="str">
        <f t="shared" si="9"/>
        <v>-</v>
      </c>
    </row>
    <row r="30" spans="1:27" x14ac:dyDescent="0.25">
      <c r="A30" s="217">
        <f>'Состав ВТК'!B23</f>
        <v>0</v>
      </c>
      <c r="B30" s="290">
        <f>IFERROR(VLOOKUP($A30,Распределение!$B$13:$L$113,11,FALSE),"-")</f>
        <v>0</v>
      </c>
      <c r="C30" s="291" t="str">
        <f>IFERROR(IF(VLOOKUP($B30,Расценка!$H$3:$I$9,2,FALSE)="НС",Расценка!$T$11,Расценка!$T$12),"-")</f>
        <v>-</v>
      </c>
      <c r="D30" s="291">
        <f>IFERROR(INDEX(Распределение!$1:$1048576,MATCH($A30,Распределение!$B:$B,0),MATCH($D$8,Распределение!$9:$9,0)),"---")</f>
        <v>0</v>
      </c>
      <c r="E30" s="292">
        <f>IFERROR(SUMIFS('Трудозатраты членов ВТК'!$G$17:$G$117,'Трудозатраты членов ВТК'!$D$17:$D$117,A:A),"-")</f>
        <v>0</v>
      </c>
      <c r="F30" s="293">
        <f>IFERROR(SUMIFS('Трудозатраты членов ВТК'!$F$464:$F$713,'Трудозатраты членов ВТК'!$D$464:$D$713,A:A),"-")</f>
        <v>0</v>
      </c>
      <c r="G30" s="302"/>
      <c r="H30" s="295">
        <f t="shared" si="10"/>
        <v>0</v>
      </c>
      <c r="I30" s="296">
        <f>IFERROR(ROUND(IF('Состав ВТК'!$K23=справочник!$A$5,IF(AND('Расчет участников НИР'!$A30='Состав ВТК'!$B23,$I$10='Состав ВТК'!$I23),$F30*$D30*VLOOKUP('Расчет участников НИР'!$B30,Расценка!$C$3:$E$13,3,FALSE),0),0),2),"-")</f>
        <v>0</v>
      </c>
      <c r="J30" s="296">
        <f>IFERROR(ROUND(IF('Состав ВТК'!$K23=справочник!$A$5,IF(AND('Расчет участников НИР'!$A30='Состав ВТК'!$B23,$J$10='Состав ВТК'!$I23),$F30*$D30*VLOOKUP('Расчет участников НИР'!$B30,Расценка!$C$3:$E$13,3,FALSE),0),0),2),"-")</f>
        <v>0</v>
      </c>
      <c r="K30" s="296">
        <f>IFERROR(ROUND(IF('Состав ВТК'!$K23=справочник!$A$5,IF(AND('Расчет участников НИР'!$A30='Состав ВТК'!$B23,$K$10='Состав ВТК'!$I23),$F30*$D30*VLOOKUP('Расчет участников НИР'!$B30,Расценка!$C$3:$E$13,3,FALSE),0),0),2),"-")</f>
        <v>0</v>
      </c>
      <c r="L30" s="297"/>
      <c r="M30" s="295">
        <f t="shared" si="3"/>
        <v>0</v>
      </c>
      <c r="N30" s="298">
        <f>IFERROR(ROUND(IF('Состав ВТК'!$K23=справочник!$A$5,(IF(AND($A30='Состав ВТК'!$B23,$N$10=$C30),$F30*$D30*VLOOKUP($B30,Расценка!$H$3:$K$9,4,FALSE),0)),0),2),"-")</f>
        <v>0</v>
      </c>
      <c r="O30" s="298">
        <f>IFERROR(ROUND(IF('Состав ВТК'!$K23=справочник!$A$5,(IF(AND($A30='Состав ВТК'!$B23,$O$10=$C30),$F30*$D30*VLOOKUP($B30,Расценка!$H$3:$K$9,4,FALSE),0)),0),2),"-")</f>
        <v>0</v>
      </c>
      <c r="P30" s="299">
        <f t="shared" si="11"/>
        <v>0</v>
      </c>
      <c r="Q30" s="300">
        <f t="shared" si="4"/>
        <v>0</v>
      </c>
      <c r="R30" s="300">
        <f t="shared" si="5"/>
        <v>0</v>
      </c>
      <c r="S30" s="295">
        <f t="shared" si="6"/>
        <v>0</v>
      </c>
      <c r="T30" s="298">
        <f>IFERROR(ROUND(IF(AND('Расчет участников НИР'!$A30='Состав ВТК'!$B23,'Расчет участников НИР'!$T$10='Состав ВТК'!$I23),$E30,0),2),"-")</f>
        <v>0</v>
      </c>
      <c r="U30" s="298">
        <f>IFERROR(ROUND(IF(AND('Расчет участников НИР'!$A30='Состав ВТК'!$B23,'Расчет участников НИР'!$U$10='Состав ВТК'!$I23),$E30,0),2),"-")</f>
        <v>0</v>
      </c>
      <c r="V30" s="298">
        <f>IFERROR(ROUND(IF(AND('Расчет участников НИР'!$A30='Состав ВТК'!$B23,'Расчет участников НИР'!$V$10='Состав ВТК'!$I23),$E30,0),2),"-")</f>
        <v>0</v>
      </c>
      <c r="W30" s="301" t="str">
        <f t="shared" si="7"/>
        <v>-</v>
      </c>
      <c r="X30" s="301" t="str">
        <f t="shared" si="8"/>
        <v>-</v>
      </c>
      <c r="Y30" s="301" t="str">
        <f t="shared" si="9"/>
        <v>-</v>
      </c>
    </row>
    <row r="31" spans="1:27" x14ac:dyDescent="0.25">
      <c r="A31" s="217">
        <f>'Состав ВТК'!B24</f>
        <v>0</v>
      </c>
      <c r="B31" s="290">
        <f>IFERROR(VLOOKUP($A31,Распределение!$B$13:$L$113,11,FALSE),"-")</f>
        <v>0</v>
      </c>
      <c r="C31" s="291" t="str">
        <f>IFERROR(IF(VLOOKUP($B31,Расценка!$H$3:$I$9,2,FALSE)="НС",Расценка!$T$11,Расценка!$T$12),"-")</f>
        <v>-</v>
      </c>
      <c r="D31" s="291">
        <f>IFERROR(INDEX(Распределение!$1:$1048576,MATCH($A31,Распределение!$B:$B,0),MATCH($D$8,Распределение!$9:$9,0)),"---")</f>
        <v>0</v>
      </c>
      <c r="E31" s="292">
        <f>IFERROR(SUMIFS('Трудозатраты членов ВТК'!$G$17:$G$117,'Трудозатраты членов ВТК'!$D$17:$D$117,A:A),"-")</f>
        <v>0</v>
      </c>
      <c r="F31" s="293">
        <f>IFERROR(SUMIFS('Трудозатраты членов ВТК'!$F$464:$F$713,'Трудозатраты членов ВТК'!$D$464:$D$713,A:A),"-")</f>
        <v>0</v>
      </c>
      <c r="G31" s="302"/>
      <c r="H31" s="295">
        <f t="shared" si="10"/>
        <v>0</v>
      </c>
      <c r="I31" s="296">
        <f>IFERROR(ROUND(IF('Состав ВТК'!$K24=справочник!$A$5,IF(AND('Расчет участников НИР'!$A31='Состав ВТК'!$B24,$I$10='Состав ВТК'!$I24),$F31*$D31*VLOOKUP('Расчет участников НИР'!$B31,Расценка!$C$3:$E$13,3,FALSE),0),0),2),"-")</f>
        <v>0</v>
      </c>
      <c r="J31" s="296">
        <f>IFERROR(ROUND(IF('Состав ВТК'!$K24=справочник!$A$5,IF(AND('Расчет участников НИР'!$A31='Состав ВТК'!$B24,$J$10='Состав ВТК'!$I24),$F31*$D31*VLOOKUP('Расчет участников НИР'!$B31,Расценка!$C$3:$E$13,3,FALSE),0),0),2),"-")</f>
        <v>0</v>
      </c>
      <c r="K31" s="296">
        <f>IFERROR(ROUND(IF('Состав ВТК'!$K24=справочник!$A$5,IF(AND('Расчет участников НИР'!$A31='Состав ВТК'!$B24,$K$10='Состав ВТК'!$I24),$F31*$D31*VLOOKUP('Расчет участников НИР'!$B31,Расценка!$C$3:$E$13,3,FALSE),0),0),2),"-")</f>
        <v>0</v>
      </c>
      <c r="L31" s="297"/>
      <c r="M31" s="295">
        <f t="shared" si="3"/>
        <v>0</v>
      </c>
      <c r="N31" s="298">
        <f>IFERROR(ROUND(IF('Состав ВТК'!$K24=справочник!$A$5,(IF(AND($A31='Состав ВТК'!$B24,$N$10=$C31),$F31*$D31*VLOOKUP($B31,Расценка!$H$3:$K$9,4,FALSE),0)),0),2),"-")</f>
        <v>0</v>
      </c>
      <c r="O31" s="298">
        <f>IFERROR(ROUND(IF('Состав ВТК'!$K24=справочник!$A$5,(IF(AND($A31='Состав ВТК'!$B24,$O$10=$C31),$F31*$D31*VLOOKUP($B31,Расценка!$H$3:$K$9,4,FALSE),0)),0),2),"-")</f>
        <v>0</v>
      </c>
      <c r="P31" s="299">
        <f t="shared" si="11"/>
        <v>0</v>
      </c>
      <c r="Q31" s="300">
        <f t="shared" si="4"/>
        <v>0</v>
      </c>
      <c r="R31" s="300">
        <f t="shared" si="5"/>
        <v>0</v>
      </c>
      <c r="S31" s="295">
        <f t="shared" si="6"/>
        <v>0</v>
      </c>
      <c r="T31" s="298">
        <f>IFERROR(ROUND(IF(AND('Расчет участников НИР'!$A31='Состав ВТК'!$B24,'Расчет участников НИР'!$T$10='Состав ВТК'!$I24),$E31,0),2),"-")</f>
        <v>0</v>
      </c>
      <c r="U31" s="298">
        <f>IFERROR(ROUND(IF(AND('Расчет участников НИР'!$A31='Состав ВТК'!$B24,'Расчет участников НИР'!$U$10='Состав ВТК'!$I24),$E31,0),2),"-")</f>
        <v>0</v>
      </c>
      <c r="V31" s="298">
        <f>IFERROR(ROUND(IF(AND('Расчет участников НИР'!$A31='Состав ВТК'!$B24,'Расчет участников НИР'!$V$10='Состав ВТК'!$I24),$E31,0),2),"-")</f>
        <v>0</v>
      </c>
      <c r="W31" s="301" t="str">
        <f t="shared" si="7"/>
        <v>-</v>
      </c>
      <c r="X31" s="301" t="str">
        <f t="shared" si="8"/>
        <v>-</v>
      </c>
      <c r="Y31" s="301" t="str">
        <f t="shared" si="9"/>
        <v>-</v>
      </c>
    </row>
    <row r="32" spans="1:27" x14ac:dyDescent="0.25">
      <c r="A32" s="217">
        <f>'Состав ВТК'!B25</f>
        <v>0</v>
      </c>
      <c r="B32" s="290">
        <f>IFERROR(VLOOKUP($A32,Распределение!$B$13:$L$113,11,FALSE),"-")</f>
        <v>0</v>
      </c>
      <c r="C32" s="291" t="str">
        <f>IFERROR(IF(VLOOKUP($B32,Расценка!$H$3:$I$9,2,FALSE)="НС",Расценка!$T$11,Расценка!$T$12),"-")</f>
        <v>-</v>
      </c>
      <c r="D32" s="291">
        <f>IFERROR(INDEX(Распределение!$1:$1048576,MATCH($A32,Распределение!$B:$B,0),MATCH($D$8,Распределение!$9:$9,0)),"---")</f>
        <v>0</v>
      </c>
      <c r="E32" s="292">
        <f>IFERROR(SUMIFS('Трудозатраты членов ВТК'!$G$17:$G$117,'Трудозатраты членов ВТК'!$D$17:$D$117,A:A),"-")</f>
        <v>0</v>
      </c>
      <c r="F32" s="293">
        <f>IFERROR(SUMIFS('Трудозатраты членов ВТК'!$F$464:$F$713,'Трудозатраты членов ВТК'!$D$464:$D$713,A:A),"-")</f>
        <v>0</v>
      </c>
      <c r="G32" s="302"/>
      <c r="H32" s="295">
        <f t="shared" si="10"/>
        <v>0</v>
      </c>
      <c r="I32" s="296">
        <f>IFERROR(ROUND(IF('Состав ВТК'!$K25=справочник!$A$5,IF(AND('Расчет участников НИР'!$A32='Состав ВТК'!$B25,$I$10='Состав ВТК'!$I25),$F32*$D32*VLOOKUP('Расчет участников НИР'!$B32,Расценка!$C$3:$E$13,3,FALSE),0),0),2),"-")</f>
        <v>0</v>
      </c>
      <c r="J32" s="296">
        <f>IFERROR(ROUND(IF('Состав ВТК'!$K25=справочник!$A$5,IF(AND('Расчет участников НИР'!$A32='Состав ВТК'!$B25,$J$10='Состав ВТК'!$I25),$F32*$D32*VLOOKUP('Расчет участников НИР'!$B32,Расценка!$C$3:$E$13,3,FALSE),0),0),2),"-")</f>
        <v>0</v>
      </c>
      <c r="K32" s="296">
        <f>IFERROR(ROUND(IF('Состав ВТК'!$K25=справочник!$A$5,IF(AND('Расчет участников НИР'!$A32='Состав ВТК'!$B25,$K$10='Состав ВТК'!$I25),$F32*$D32*VLOOKUP('Расчет участников НИР'!$B32,Расценка!$C$3:$E$13,3,FALSE),0),0),2),"-")</f>
        <v>0</v>
      </c>
      <c r="L32" s="297"/>
      <c r="M32" s="295">
        <f t="shared" si="3"/>
        <v>0</v>
      </c>
      <c r="N32" s="298">
        <f>IFERROR(ROUND(IF('Состав ВТК'!$K25=справочник!$A$5,(IF(AND($A32='Состав ВТК'!$B25,$N$10=$C32),$F32*$D32*VLOOKUP($B32,Расценка!$H$3:$K$9,4,FALSE),0)),0),2),"-")</f>
        <v>0</v>
      </c>
      <c r="O32" s="298">
        <f>IFERROR(ROUND(IF('Состав ВТК'!$K25=справочник!$A$5,(IF(AND($A32='Состав ВТК'!$B25,$O$10=$C32),$F32*$D32*VLOOKUP($B32,Расценка!$H$3:$K$9,4,FALSE),0)),0),2),"-")</f>
        <v>0</v>
      </c>
      <c r="P32" s="299">
        <f t="shared" si="11"/>
        <v>0</v>
      </c>
      <c r="Q32" s="300">
        <f t="shared" si="4"/>
        <v>0</v>
      </c>
      <c r="R32" s="300">
        <f t="shared" si="5"/>
        <v>0</v>
      </c>
      <c r="S32" s="295">
        <f t="shared" si="6"/>
        <v>0</v>
      </c>
      <c r="T32" s="298">
        <f>IFERROR(ROUND(IF(AND('Расчет участников НИР'!$A32='Состав ВТК'!$B25,'Расчет участников НИР'!$T$10='Состав ВТК'!$I25),$E32,0),2),"-")</f>
        <v>0</v>
      </c>
      <c r="U32" s="298">
        <f>IFERROR(ROUND(IF(AND('Расчет участников НИР'!$A32='Состав ВТК'!$B25,'Расчет участников НИР'!$U$10='Состав ВТК'!$I25),$E32,0),2),"-")</f>
        <v>0</v>
      </c>
      <c r="V32" s="298">
        <f>IFERROR(ROUND(IF(AND('Расчет участников НИР'!$A32='Состав ВТК'!$B25,'Расчет участников НИР'!$V$10='Состав ВТК'!$I25),$E32,0),2),"-")</f>
        <v>0</v>
      </c>
      <c r="W32" s="301" t="str">
        <f t="shared" si="7"/>
        <v>-</v>
      </c>
      <c r="X32" s="301" t="str">
        <f t="shared" si="8"/>
        <v>-</v>
      </c>
      <c r="Y32" s="301" t="str">
        <f t="shared" si="9"/>
        <v>-</v>
      </c>
    </row>
    <row r="33" spans="1:25" x14ac:dyDescent="0.25">
      <c r="A33" s="217">
        <f>'Состав ВТК'!B26</f>
        <v>0</v>
      </c>
      <c r="B33" s="290">
        <f>IFERROR(VLOOKUP($A33,Распределение!$B$13:$L$113,11,FALSE),"-")</f>
        <v>0</v>
      </c>
      <c r="C33" s="291" t="str">
        <f>IFERROR(IF(VLOOKUP($B33,Расценка!$H$3:$I$9,2,FALSE)="НС",Расценка!$T$11,Расценка!$T$12),"-")</f>
        <v>-</v>
      </c>
      <c r="D33" s="291">
        <f>IFERROR(INDEX(Распределение!$1:$1048576,MATCH($A33,Распределение!$B:$B,0),MATCH($D$8,Распределение!$9:$9,0)),"---")</f>
        <v>0</v>
      </c>
      <c r="E33" s="292">
        <f>IFERROR(SUMIFS('Трудозатраты членов ВТК'!$G$17:$G$117,'Трудозатраты членов ВТК'!$D$17:$D$117,A:A),"-")</f>
        <v>0</v>
      </c>
      <c r="F33" s="293">
        <f>IFERROR(SUMIFS('Трудозатраты членов ВТК'!$F$464:$F$713,'Трудозатраты членов ВТК'!$D$464:$D$713,A:A),"-")</f>
        <v>0</v>
      </c>
      <c r="G33" s="302"/>
      <c r="H33" s="295">
        <f t="shared" si="10"/>
        <v>0</v>
      </c>
      <c r="I33" s="296">
        <f>IFERROR(ROUND(IF('Состав ВТК'!$K26=справочник!$A$5,IF(AND('Расчет участников НИР'!$A33='Состав ВТК'!$B26,$I$10='Состав ВТК'!$I26),$F33*$D33*VLOOKUP('Расчет участников НИР'!$B33,Расценка!$C$3:$E$13,3,FALSE),0),0),2),"-")</f>
        <v>0</v>
      </c>
      <c r="J33" s="296">
        <f>IFERROR(ROUND(IF('Состав ВТК'!$K26=справочник!$A$5,IF(AND('Расчет участников НИР'!$A33='Состав ВТК'!$B26,$J$10='Состав ВТК'!$I26),$F33*$D33*VLOOKUP('Расчет участников НИР'!$B33,Расценка!$C$3:$E$13,3,FALSE),0),0),2),"-")</f>
        <v>0</v>
      </c>
      <c r="K33" s="296">
        <f>IFERROR(ROUND(IF('Состав ВТК'!$K26=справочник!$A$5,IF(AND('Расчет участников НИР'!$A33='Состав ВТК'!$B26,$K$10='Состав ВТК'!$I26),$F33*$D33*VLOOKUP('Расчет участников НИР'!$B33,Расценка!$C$3:$E$13,3,FALSE),0),0),2),"-")</f>
        <v>0</v>
      </c>
      <c r="L33" s="297"/>
      <c r="M33" s="295">
        <f t="shared" si="3"/>
        <v>0</v>
      </c>
      <c r="N33" s="298">
        <f>IFERROR(ROUND(IF('Состав ВТК'!$K26=справочник!$A$5,(IF(AND($A33='Состав ВТК'!$B26,$N$10=$C33),$F33*$D33*VLOOKUP($B33,Расценка!$H$3:$K$9,4,FALSE),0)),0),2),"-")</f>
        <v>0</v>
      </c>
      <c r="O33" s="298">
        <f>IFERROR(ROUND(IF('Состав ВТК'!$K26=справочник!$A$5,(IF(AND($A33='Состав ВТК'!$B26,$O$10=$C33),$F33*$D33*VLOOKUP($B33,Расценка!$H$3:$K$9,4,FALSE),0)),0),2),"-")</f>
        <v>0</v>
      </c>
      <c r="P33" s="299">
        <f t="shared" si="11"/>
        <v>0</v>
      </c>
      <c r="Q33" s="300">
        <f t="shared" si="4"/>
        <v>0</v>
      </c>
      <c r="R33" s="300">
        <f t="shared" si="5"/>
        <v>0</v>
      </c>
      <c r="S33" s="295">
        <f t="shared" si="6"/>
        <v>0</v>
      </c>
      <c r="T33" s="298">
        <f>IFERROR(ROUND(IF(AND('Расчет участников НИР'!$A33='Состав ВТК'!$B26,'Расчет участников НИР'!$T$10='Состав ВТК'!$I26),$E33,0),2),"-")</f>
        <v>0</v>
      </c>
      <c r="U33" s="298">
        <f>IFERROR(ROUND(IF(AND('Расчет участников НИР'!$A33='Состав ВТК'!$B26,'Расчет участников НИР'!$U$10='Состав ВТК'!$I26),$E33,0),2),"-")</f>
        <v>0</v>
      </c>
      <c r="V33" s="298">
        <f>IFERROR(ROUND(IF(AND('Расчет участников НИР'!$A33='Состав ВТК'!$B26,'Расчет участников НИР'!$V$10='Состав ВТК'!$I26),$E33,0),2),"-")</f>
        <v>0</v>
      </c>
      <c r="W33" s="301" t="str">
        <f t="shared" si="7"/>
        <v>-</v>
      </c>
      <c r="X33" s="301" t="str">
        <f t="shared" si="8"/>
        <v>-</v>
      </c>
      <c r="Y33" s="301" t="str">
        <f t="shared" si="9"/>
        <v>-</v>
      </c>
    </row>
    <row r="34" spans="1:25" x14ac:dyDescent="0.25">
      <c r="A34" s="217">
        <f>'Состав ВТК'!B27</f>
        <v>0</v>
      </c>
      <c r="B34" s="290">
        <f>IFERROR(VLOOKUP($A34,Распределение!$B$13:$L$113,11,FALSE),"-")</f>
        <v>0</v>
      </c>
      <c r="C34" s="291" t="str">
        <f>IFERROR(IF(VLOOKUP($B34,Расценка!$H$3:$I$9,2,FALSE)="НС",Расценка!$T$11,Расценка!$T$12),"-")</f>
        <v>-</v>
      </c>
      <c r="D34" s="291">
        <f>IFERROR(INDEX(Распределение!$1:$1048576,MATCH($A34,Распределение!$B:$B,0),MATCH($D$8,Распределение!$9:$9,0)),"---")</f>
        <v>0</v>
      </c>
      <c r="E34" s="292">
        <f>IFERROR(SUMIFS('Трудозатраты членов ВТК'!$G$17:$G$117,'Трудозатраты членов ВТК'!$D$17:$D$117,A:A),"-")</f>
        <v>0</v>
      </c>
      <c r="F34" s="293">
        <f>IFERROR(SUMIFS('Трудозатраты членов ВТК'!$F$464:$F$713,'Трудозатраты членов ВТК'!$D$464:$D$713,A:A),"-")</f>
        <v>0</v>
      </c>
      <c r="G34" s="302"/>
      <c r="H34" s="295">
        <f t="shared" si="10"/>
        <v>0</v>
      </c>
      <c r="I34" s="296">
        <f>IFERROR(ROUND(IF('Состав ВТК'!$K27=справочник!$A$5,IF(AND('Расчет участников НИР'!$A34='Состав ВТК'!$B27,$I$10='Состав ВТК'!$I27),$F34*$D34*VLOOKUP('Расчет участников НИР'!$B34,Расценка!$C$3:$E$13,3,FALSE),0),0),2),"-")</f>
        <v>0</v>
      </c>
      <c r="J34" s="296">
        <f>IFERROR(ROUND(IF('Состав ВТК'!$K27=справочник!$A$5,IF(AND('Расчет участников НИР'!$A34='Состав ВТК'!$B27,$J$10='Состав ВТК'!$I27),$F34*$D34*VLOOKUP('Расчет участников НИР'!$B34,Расценка!$C$3:$E$13,3,FALSE),0),0),2),"-")</f>
        <v>0</v>
      </c>
      <c r="K34" s="296">
        <f>IFERROR(ROUND(IF('Состав ВТК'!$K27=справочник!$A$5,IF(AND('Расчет участников НИР'!$A34='Состав ВТК'!$B27,$K$10='Состав ВТК'!$I27),$F34*$D34*VLOOKUP('Расчет участников НИР'!$B34,Расценка!$C$3:$E$13,3,FALSE),0),0),2),"-")</f>
        <v>0</v>
      </c>
      <c r="L34" s="297"/>
      <c r="M34" s="295">
        <f t="shared" si="3"/>
        <v>0</v>
      </c>
      <c r="N34" s="298">
        <f>IFERROR(ROUND(IF('Состав ВТК'!$K27=справочник!$A$5,(IF(AND($A34='Состав ВТК'!$B27,$N$10=$C34),$F34*$D34*VLOOKUP($B34,Расценка!$H$3:$K$9,4,FALSE),0)),0),2),"-")</f>
        <v>0</v>
      </c>
      <c r="O34" s="298">
        <f>IFERROR(ROUND(IF('Состав ВТК'!$K27=справочник!$A$5,(IF(AND($A34='Состав ВТК'!$B27,$O$10=$C34),$F34*$D34*VLOOKUP($B34,Расценка!$H$3:$K$9,4,FALSE),0)),0),2),"-")</f>
        <v>0</v>
      </c>
      <c r="P34" s="299">
        <f t="shared" si="11"/>
        <v>0</v>
      </c>
      <c r="Q34" s="300">
        <f t="shared" si="4"/>
        <v>0</v>
      </c>
      <c r="R34" s="300">
        <f t="shared" si="5"/>
        <v>0</v>
      </c>
      <c r="S34" s="295">
        <f t="shared" si="6"/>
        <v>0</v>
      </c>
      <c r="T34" s="298">
        <f>IFERROR(ROUND(IF(AND('Расчет участников НИР'!$A34='Состав ВТК'!$B27,'Расчет участников НИР'!$T$10='Состав ВТК'!$I27),$E34,0),2),"-")</f>
        <v>0</v>
      </c>
      <c r="U34" s="298">
        <f>IFERROR(ROUND(IF(AND('Расчет участников НИР'!$A34='Состав ВТК'!$B27,'Расчет участников НИР'!$U$10='Состав ВТК'!$I27),$E34,0),2),"-")</f>
        <v>0</v>
      </c>
      <c r="V34" s="298">
        <f>IFERROR(ROUND(IF(AND('Расчет участников НИР'!$A34='Состав ВТК'!$B27,'Расчет участников НИР'!$V$10='Состав ВТК'!$I27),$E34,0),2),"-")</f>
        <v>0</v>
      </c>
      <c r="W34" s="301" t="str">
        <f t="shared" si="7"/>
        <v>-</v>
      </c>
      <c r="X34" s="301" t="str">
        <f t="shared" si="8"/>
        <v>-</v>
      </c>
      <c r="Y34" s="301" t="str">
        <f t="shared" si="9"/>
        <v>-</v>
      </c>
    </row>
    <row r="35" spans="1:25" x14ac:dyDescent="0.25">
      <c r="A35" s="217">
        <f>'Состав ВТК'!B28</f>
        <v>0</v>
      </c>
      <c r="B35" s="290">
        <f>IFERROR(VLOOKUP($A35,Распределение!$B$13:$L$113,11,FALSE),"-")</f>
        <v>0</v>
      </c>
      <c r="C35" s="291" t="str">
        <f>IFERROR(IF(VLOOKUP($B35,Расценка!$H$3:$I$9,2,FALSE)="НС",Расценка!$T$11,Расценка!$T$12),"-")</f>
        <v>-</v>
      </c>
      <c r="D35" s="291">
        <f>IFERROR(INDEX(Распределение!$1:$1048576,MATCH($A35,Распределение!$B:$B,0),MATCH($D$8,Распределение!$9:$9,0)),"---")</f>
        <v>0</v>
      </c>
      <c r="E35" s="292">
        <f>IFERROR(SUMIFS('Трудозатраты членов ВТК'!$G$17:$G$117,'Трудозатраты членов ВТК'!$D$17:$D$117,A:A),"-")</f>
        <v>0</v>
      </c>
      <c r="F35" s="293">
        <f>IFERROR(SUMIFS('Трудозатраты членов ВТК'!$F$464:$F$713,'Трудозатраты членов ВТК'!$D$464:$D$713,A:A),"-")</f>
        <v>0</v>
      </c>
      <c r="G35" s="302"/>
      <c r="H35" s="295">
        <f t="shared" si="10"/>
        <v>0</v>
      </c>
      <c r="I35" s="296">
        <f>IFERROR(ROUND(IF('Состав ВТК'!$K28=справочник!$A$5,IF(AND('Расчет участников НИР'!$A35='Состав ВТК'!$B28,$I$10='Состав ВТК'!$I28),$F35*$D35*VLOOKUP('Расчет участников НИР'!$B35,Расценка!$C$3:$E$13,3,FALSE),0),0),2),"-")</f>
        <v>0</v>
      </c>
      <c r="J35" s="296">
        <f>IFERROR(ROUND(IF('Состав ВТК'!$K28=справочник!$A$5,IF(AND('Расчет участников НИР'!$A35='Состав ВТК'!$B28,$J$10='Состав ВТК'!$I28),$F35*$D35*VLOOKUP('Расчет участников НИР'!$B35,Расценка!$C$3:$E$13,3,FALSE),0),0),2),"-")</f>
        <v>0</v>
      </c>
      <c r="K35" s="296">
        <f>IFERROR(ROUND(IF('Состав ВТК'!$K28=справочник!$A$5,IF(AND('Расчет участников НИР'!$A35='Состав ВТК'!$B28,$K$10='Состав ВТК'!$I28),$F35*$D35*VLOOKUP('Расчет участников НИР'!$B35,Расценка!$C$3:$E$13,3,FALSE),0),0),2),"-")</f>
        <v>0</v>
      </c>
      <c r="L35" s="297"/>
      <c r="M35" s="295">
        <f t="shared" si="3"/>
        <v>0</v>
      </c>
      <c r="N35" s="298">
        <f>IFERROR(ROUND(IF('Состав ВТК'!$K28=справочник!$A$5,(IF(AND($A35='Состав ВТК'!$B28,$N$10=$C35),$F35*$D35*VLOOKUP($B35,Расценка!$H$3:$K$9,4,FALSE),0)),0),2),"-")</f>
        <v>0</v>
      </c>
      <c r="O35" s="298">
        <f>IFERROR(ROUND(IF('Состав ВТК'!$K28=справочник!$A$5,(IF(AND($A35='Состав ВТК'!$B28,$O$10=$C35),$F35*$D35*VLOOKUP($B35,Расценка!$H$3:$K$9,4,FALSE),0)),0),2),"-")</f>
        <v>0</v>
      </c>
      <c r="P35" s="299">
        <f t="shared" si="11"/>
        <v>0</v>
      </c>
      <c r="Q35" s="300">
        <f t="shared" si="4"/>
        <v>0</v>
      </c>
      <c r="R35" s="300">
        <f t="shared" si="5"/>
        <v>0</v>
      </c>
      <c r="S35" s="295">
        <f t="shared" si="6"/>
        <v>0</v>
      </c>
      <c r="T35" s="298">
        <f>IFERROR(ROUND(IF(AND('Расчет участников НИР'!$A35='Состав ВТК'!$B28,'Расчет участников НИР'!$T$10='Состав ВТК'!$I28),$E35,0),2),"-")</f>
        <v>0</v>
      </c>
      <c r="U35" s="298">
        <f>IFERROR(ROUND(IF(AND('Расчет участников НИР'!$A35='Состав ВТК'!$B28,'Расчет участников НИР'!$U$10='Состав ВТК'!$I28),$E35,0),2),"-")</f>
        <v>0</v>
      </c>
      <c r="V35" s="298">
        <f>IFERROR(ROUND(IF(AND('Расчет участников НИР'!$A35='Состав ВТК'!$B28,'Расчет участников НИР'!$V$10='Состав ВТК'!$I28),$E35,0),2),"-")</f>
        <v>0</v>
      </c>
      <c r="W35" s="301" t="str">
        <f t="shared" si="7"/>
        <v>-</v>
      </c>
      <c r="X35" s="301" t="str">
        <f t="shared" si="8"/>
        <v>-</v>
      </c>
      <c r="Y35" s="301" t="str">
        <f t="shared" si="9"/>
        <v>-</v>
      </c>
    </row>
    <row r="36" spans="1:25" x14ac:dyDescent="0.25">
      <c r="A36" s="217">
        <f>'Состав ВТК'!B29</f>
        <v>0</v>
      </c>
      <c r="B36" s="290">
        <f>IFERROR(VLOOKUP($A36,Распределение!$B$13:$L$113,11,FALSE),"-")</f>
        <v>0</v>
      </c>
      <c r="C36" s="291" t="str">
        <f>IFERROR(IF(VLOOKUP($B36,Расценка!$H$3:$I$9,2,FALSE)="НС",Расценка!$T$11,Расценка!$T$12),"-")</f>
        <v>-</v>
      </c>
      <c r="D36" s="291">
        <f>IFERROR(INDEX(Распределение!$1:$1048576,MATCH($A36,Распределение!$B:$B,0),MATCH($D$8,Распределение!$9:$9,0)),"---")</f>
        <v>0</v>
      </c>
      <c r="E36" s="292">
        <f>IFERROR(SUMIFS('Трудозатраты членов ВТК'!$G$17:$G$117,'Трудозатраты членов ВТК'!$D$17:$D$117,A:A),"-")</f>
        <v>0</v>
      </c>
      <c r="F36" s="293">
        <f>IFERROR(SUMIFS('Трудозатраты членов ВТК'!$F$464:$F$713,'Трудозатраты членов ВТК'!$D$464:$D$713,A:A),"-")</f>
        <v>0</v>
      </c>
      <c r="G36" s="302"/>
      <c r="H36" s="295">
        <f t="shared" si="10"/>
        <v>0</v>
      </c>
      <c r="I36" s="296">
        <f>IFERROR(ROUND(IF('Состав ВТК'!$K29=справочник!$A$5,IF(AND('Расчет участников НИР'!$A36='Состав ВТК'!$B29,$I$10='Состав ВТК'!$I29),$F36*$D36*VLOOKUP('Расчет участников НИР'!$B36,Расценка!$C$3:$E$13,3,FALSE),0),0),2),"-")</f>
        <v>0</v>
      </c>
      <c r="J36" s="296">
        <f>IFERROR(ROUND(IF('Состав ВТК'!$K29=справочник!$A$5,IF(AND('Расчет участников НИР'!$A36='Состав ВТК'!$B29,$J$10='Состав ВТК'!$I29),$F36*$D36*VLOOKUP('Расчет участников НИР'!$B36,Расценка!$C$3:$E$13,3,FALSE),0),0),2),"-")</f>
        <v>0</v>
      </c>
      <c r="K36" s="296">
        <f>IFERROR(ROUND(IF('Состав ВТК'!$K29=справочник!$A$5,IF(AND('Расчет участников НИР'!$A36='Состав ВТК'!$B29,$K$10='Состав ВТК'!$I29),$F36*$D36*VLOOKUP('Расчет участников НИР'!$B36,Расценка!$C$3:$E$13,3,FALSE),0),0),2),"-")</f>
        <v>0</v>
      </c>
      <c r="L36" s="297"/>
      <c r="M36" s="295">
        <f t="shared" si="3"/>
        <v>0</v>
      </c>
      <c r="N36" s="298">
        <f>IFERROR(ROUND(IF('Состав ВТК'!$K29=справочник!$A$5,(IF(AND($A36='Состав ВТК'!$B29,$N$10=$C36),$F36*$D36*VLOOKUP($B36,Расценка!$H$3:$K$9,4,FALSE),0)),0),2),"-")</f>
        <v>0</v>
      </c>
      <c r="O36" s="298">
        <f>IFERROR(ROUND(IF('Состав ВТК'!$K29=справочник!$A$5,(IF(AND($A36='Состав ВТК'!$B29,$O$10=$C36),$F36*$D36*VLOOKUP($B36,Расценка!$H$3:$K$9,4,FALSE),0)),0),2),"-")</f>
        <v>0</v>
      </c>
      <c r="P36" s="299">
        <f t="shared" si="11"/>
        <v>0</v>
      </c>
      <c r="Q36" s="300">
        <f t="shared" si="4"/>
        <v>0</v>
      </c>
      <c r="R36" s="300">
        <f t="shared" si="5"/>
        <v>0</v>
      </c>
      <c r="S36" s="295">
        <f t="shared" si="6"/>
        <v>0</v>
      </c>
      <c r="T36" s="298">
        <f>IFERROR(ROUND(IF(AND('Расчет участников НИР'!$A36='Состав ВТК'!$B29,'Расчет участников НИР'!$T$10='Состав ВТК'!$I29),$E36,0),2),"-")</f>
        <v>0</v>
      </c>
      <c r="U36" s="298">
        <f>IFERROR(ROUND(IF(AND('Расчет участников НИР'!$A36='Состав ВТК'!$B29,'Расчет участников НИР'!$U$10='Состав ВТК'!$I29),$E36,0),2),"-")</f>
        <v>0</v>
      </c>
      <c r="V36" s="298">
        <f>IFERROR(ROUND(IF(AND('Расчет участников НИР'!$A36='Состав ВТК'!$B29,'Расчет участников НИР'!$V$10='Состав ВТК'!$I29),$E36,0),2),"-")</f>
        <v>0</v>
      </c>
      <c r="W36" s="301" t="str">
        <f t="shared" si="7"/>
        <v>-</v>
      </c>
      <c r="X36" s="301" t="str">
        <f t="shared" si="8"/>
        <v>-</v>
      </c>
      <c r="Y36" s="301" t="str">
        <f t="shared" si="9"/>
        <v>-</v>
      </c>
    </row>
    <row r="37" spans="1:25" x14ac:dyDescent="0.25">
      <c r="A37" s="217">
        <f>'Состав ВТК'!B30</f>
        <v>0</v>
      </c>
      <c r="B37" s="290">
        <f>IFERROR(VLOOKUP($A37,Распределение!$B$13:$L$113,11,FALSE),"-")</f>
        <v>0</v>
      </c>
      <c r="C37" s="291" t="str">
        <f>IFERROR(IF(VLOOKUP($B37,Расценка!$H$3:$I$9,2,FALSE)="НС",Расценка!$T$11,Расценка!$T$12),"-")</f>
        <v>-</v>
      </c>
      <c r="D37" s="291">
        <f>IFERROR(INDEX(Распределение!$1:$1048576,MATCH($A37,Распределение!$B:$B,0),MATCH($D$8,Распределение!$9:$9,0)),"---")</f>
        <v>0</v>
      </c>
      <c r="E37" s="292">
        <f>IFERROR(SUMIFS('Трудозатраты членов ВТК'!$G$17:$G$117,'Трудозатраты членов ВТК'!$D$17:$D$117,A:A),"-")</f>
        <v>0</v>
      </c>
      <c r="F37" s="293">
        <f>IFERROR(SUMIFS('Трудозатраты членов ВТК'!$F$464:$F$713,'Трудозатраты членов ВТК'!$D$464:$D$713,A:A),"-")</f>
        <v>0</v>
      </c>
      <c r="G37" s="302"/>
      <c r="H37" s="295">
        <f t="shared" si="10"/>
        <v>0</v>
      </c>
      <c r="I37" s="296">
        <f>IFERROR(ROUND(IF('Состав ВТК'!$K30=справочник!$A$5,IF(AND('Расчет участников НИР'!$A37='Состав ВТК'!$B30,$I$10='Состав ВТК'!$I30),$F37*$D37*VLOOKUP('Расчет участников НИР'!$B37,Расценка!$C$3:$E$13,3,FALSE),0),0),2),"-")</f>
        <v>0</v>
      </c>
      <c r="J37" s="296">
        <f>IFERROR(ROUND(IF('Состав ВТК'!$K30=справочник!$A$5,IF(AND('Расчет участников НИР'!$A37='Состав ВТК'!$B30,$J$10='Состав ВТК'!$I30),$F37*$D37*VLOOKUP('Расчет участников НИР'!$B37,Расценка!$C$3:$E$13,3,FALSE),0),0),2),"-")</f>
        <v>0</v>
      </c>
      <c r="K37" s="296">
        <f>IFERROR(ROUND(IF('Состав ВТК'!$K30=справочник!$A$5,IF(AND('Расчет участников НИР'!$A37='Состав ВТК'!$B30,$K$10='Состав ВТК'!$I30),$F37*$D37*VLOOKUP('Расчет участников НИР'!$B37,Расценка!$C$3:$E$13,3,FALSE),0),0),2),"-")</f>
        <v>0</v>
      </c>
      <c r="L37" s="297"/>
      <c r="M37" s="295">
        <f t="shared" si="3"/>
        <v>0</v>
      </c>
      <c r="N37" s="298">
        <f>IFERROR(ROUND(IF('Состав ВТК'!$K30=справочник!$A$5,(IF(AND($A37='Состав ВТК'!$B30,$N$10=$C37),$F37*$D37*VLOOKUP($B37,Расценка!$H$3:$K$9,4,FALSE),0)),0),2),"-")</f>
        <v>0</v>
      </c>
      <c r="O37" s="298">
        <f>IFERROR(ROUND(IF('Состав ВТК'!$K30=справочник!$A$5,(IF(AND($A37='Состав ВТК'!$B30,$O$10=$C37),$F37*$D37*VLOOKUP($B37,Расценка!$H$3:$K$9,4,FALSE),0)),0),2),"-")</f>
        <v>0</v>
      </c>
      <c r="P37" s="299">
        <f t="shared" si="11"/>
        <v>0</v>
      </c>
      <c r="Q37" s="300">
        <f t="shared" si="4"/>
        <v>0</v>
      </c>
      <c r="R37" s="300">
        <f t="shared" si="5"/>
        <v>0</v>
      </c>
      <c r="S37" s="295">
        <f t="shared" si="6"/>
        <v>0</v>
      </c>
      <c r="T37" s="298">
        <f>IFERROR(ROUND(IF(AND('Расчет участников НИР'!$A37='Состав ВТК'!$B30,'Расчет участников НИР'!$T$10='Состав ВТК'!$I30),$E37,0),2),"-")</f>
        <v>0</v>
      </c>
      <c r="U37" s="298">
        <f>IFERROR(ROUND(IF(AND('Расчет участников НИР'!$A37='Состав ВТК'!$B30,'Расчет участников НИР'!$U$10='Состав ВТК'!$I30),$E37,0),2),"-")</f>
        <v>0</v>
      </c>
      <c r="V37" s="298">
        <f>IFERROR(ROUND(IF(AND('Расчет участников НИР'!$A37='Состав ВТК'!$B30,'Расчет участников НИР'!$V$10='Состав ВТК'!$I30),$E37,0),2),"-")</f>
        <v>0</v>
      </c>
      <c r="W37" s="301" t="str">
        <f t="shared" si="7"/>
        <v>-</v>
      </c>
      <c r="X37" s="301" t="str">
        <f t="shared" si="8"/>
        <v>-</v>
      </c>
      <c r="Y37" s="301" t="str">
        <f t="shared" si="9"/>
        <v>-</v>
      </c>
    </row>
    <row r="38" spans="1:25" x14ac:dyDescent="0.25">
      <c r="A38" s="217">
        <f>'Состав ВТК'!B31</f>
        <v>0</v>
      </c>
      <c r="B38" s="290">
        <f>IFERROR(VLOOKUP($A38,Распределение!$B$13:$L$113,11,FALSE),"-")</f>
        <v>0</v>
      </c>
      <c r="C38" s="291" t="str">
        <f>IFERROR(IF(VLOOKUP($B38,Расценка!$H$3:$I$9,2,FALSE)="НС",Расценка!$T$11,Расценка!$T$12),"-")</f>
        <v>-</v>
      </c>
      <c r="D38" s="291">
        <f>IFERROR(INDEX(Распределение!$1:$1048576,MATCH($A38,Распределение!$B:$B,0),MATCH($D$8,Распределение!$9:$9,0)),"---")</f>
        <v>0</v>
      </c>
      <c r="E38" s="292">
        <f>IFERROR(SUMIFS('Трудозатраты членов ВТК'!$G$17:$G$117,'Трудозатраты членов ВТК'!$D$17:$D$117,A:A),"-")</f>
        <v>0</v>
      </c>
      <c r="F38" s="293">
        <f>IFERROR(SUMIFS('Трудозатраты членов ВТК'!$F$464:$F$713,'Трудозатраты членов ВТК'!$D$464:$D$713,A:A),"-")</f>
        <v>0</v>
      </c>
      <c r="G38" s="302"/>
      <c r="H38" s="295">
        <f t="shared" si="10"/>
        <v>0</v>
      </c>
      <c r="I38" s="296">
        <f>IFERROR(ROUND(IF('Состав ВТК'!$K31=справочник!$A$5,IF(AND('Расчет участников НИР'!$A38='Состав ВТК'!$B31,$I$10='Состав ВТК'!$I31),$F38*$D38*VLOOKUP('Расчет участников НИР'!$B38,Расценка!$C$3:$E$13,3,FALSE),0),0),2),"-")</f>
        <v>0</v>
      </c>
      <c r="J38" s="296">
        <f>IFERROR(ROUND(IF('Состав ВТК'!$K31=справочник!$A$5,IF(AND('Расчет участников НИР'!$A38='Состав ВТК'!$B31,$J$10='Состав ВТК'!$I31),$F38*$D38*VLOOKUP('Расчет участников НИР'!$B38,Расценка!$C$3:$E$13,3,FALSE),0),0),2),"-")</f>
        <v>0</v>
      </c>
      <c r="K38" s="296">
        <f>IFERROR(ROUND(IF('Состав ВТК'!$K31=справочник!$A$5,IF(AND('Расчет участников НИР'!$A38='Состав ВТК'!$B31,$K$10='Состав ВТК'!$I31),$F38*$D38*VLOOKUP('Расчет участников НИР'!$B38,Расценка!$C$3:$E$13,3,FALSE),0),0),2),"-")</f>
        <v>0</v>
      </c>
      <c r="L38" s="297"/>
      <c r="M38" s="295">
        <f t="shared" si="3"/>
        <v>0</v>
      </c>
      <c r="N38" s="298">
        <f>IFERROR(ROUND(IF('Состав ВТК'!$K31=справочник!$A$5,(IF(AND($A38='Состав ВТК'!$B31,$N$10=$C38),$F38*$D38*VLOOKUP($B38,Расценка!$H$3:$K$9,4,FALSE),0)),0),2),"-")</f>
        <v>0</v>
      </c>
      <c r="O38" s="298">
        <f>IFERROR(ROUND(IF('Состав ВТК'!$K31=справочник!$A$5,(IF(AND($A38='Состав ВТК'!$B31,$O$10=$C38),$F38*$D38*VLOOKUP($B38,Расценка!$H$3:$K$9,4,FALSE),0)),0),2),"-")</f>
        <v>0</v>
      </c>
      <c r="P38" s="299">
        <f t="shared" si="11"/>
        <v>0</v>
      </c>
      <c r="Q38" s="300">
        <f t="shared" si="4"/>
        <v>0</v>
      </c>
      <c r="R38" s="300">
        <f t="shared" si="5"/>
        <v>0</v>
      </c>
      <c r="S38" s="295">
        <f t="shared" si="6"/>
        <v>0</v>
      </c>
      <c r="T38" s="298">
        <f>IFERROR(ROUND(IF(AND('Расчет участников НИР'!$A38='Состав ВТК'!$B31,'Расчет участников НИР'!$T$10='Состав ВТК'!$I31),$E38,0),2),"-")</f>
        <v>0</v>
      </c>
      <c r="U38" s="298">
        <f>IFERROR(ROUND(IF(AND('Расчет участников НИР'!$A38='Состав ВТК'!$B31,'Расчет участников НИР'!$U$10='Состав ВТК'!$I31),$E38,0),2),"-")</f>
        <v>0</v>
      </c>
      <c r="V38" s="298">
        <f>IFERROR(ROUND(IF(AND('Расчет участников НИР'!$A38='Состав ВТК'!$B31,'Расчет участников НИР'!$V$10='Состав ВТК'!$I31),$E38,0),2),"-")</f>
        <v>0</v>
      </c>
      <c r="W38" s="301" t="str">
        <f t="shared" si="7"/>
        <v>-</v>
      </c>
      <c r="X38" s="301" t="str">
        <f t="shared" si="8"/>
        <v>-</v>
      </c>
      <c r="Y38" s="301" t="str">
        <f t="shared" si="9"/>
        <v>-</v>
      </c>
    </row>
    <row r="39" spans="1:25" x14ac:dyDescent="0.25">
      <c r="A39" s="217">
        <f>'Состав ВТК'!B32</f>
        <v>0</v>
      </c>
      <c r="B39" s="290">
        <f>IFERROR(VLOOKUP($A39,Распределение!$B$13:$L$113,11,FALSE),"-")</f>
        <v>0</v>
      </c>
      <c r="C39" s="291" t="str">
        <f>IFERROR(IF(VLOOKUP($B39,Расценка!$H$3:$I$9,2,FALSE)="НС",Расценка!$T$11,Расценка!$T$12),"-")</f>
        <v>-</v>
      </c>
      <c r="D39" s="291">
        <f>IFERROR(INDEX(Распределение!$1:$1048576,MATCH($A39,Распределение!$B:$B,0),MATCH($D$8,Распределение!$9:$9,0)),"---")</f>
        <v>0</v>
      </c>
      <c r="E39" s="292">
        <f>IFERROR(SUMIFS('Трудозатраты членов ВТК'!$G$17:$G$117,'Трудозатраты членов ВТК'!$D$17:$D$117,A:A),"-")</f>
        <v>0</v>
      </c>
      <c r="F39" s="293">
        <f>IFERROR(SUMIFS('Трудозатраты членов ВТК'!$F$464:$F$713,'Трудозатраты членов ВТК'!$D$464:$D$713,A:A),"-")</f>
        <v>0</v>
      </c>
      <c r="G39" s="302"/>
      <c r="H39" s="295">
        <f t="shared" si="10"/>
        <v>0</v>
      </c>
      <c r="I39" s="296">
        <f>IFERROR(ROUND(IF('Состав ВТК'!$K32=справочник!$A$5,IF(AND('Расчет участников НИР'!$A39='Состав ВТК'!$B32,$I$10='Состав ВТК'!$I32),$F39*$D39*VLOOKUP('Расчет участников НИР'!$B39,Расценка!$C$3:$E$13,3,FALSE),0),0),2),"-")</f>
        <v>0</v>
      </c>
      <c r="J39" s="296">
        <f>IFERROR(ROUND(IF('Состав ВТК'!$K32=справочник!$A$5,IF(AND('Расчет участников НИР'!$A39='Состав ВТК'!$B32,$J$10='Состав ВТК'!$I32),$F39*$D39*VLOOKUP('Расчет участников НИР'!$B39,Расценка!$C$3:$E$13,3,FALSE),0),0),2),"-")</f>
        <v>0</v>
      </c>
      <c r="K39" s="296">
        <f>IFERROR(ROUND(IF('Состав ВТК'!$K32=справочник!$A$5,IF(AND('Расчет участников НИР'!$A39='Состав ВТК'!$B32,$K$10='Состав ВТК'!$I32),$F39*$D39*VLOOKUP('Расчет участников НИР'!$B39,Расценка!$C$3:$E$13,3,FALSE),0),0),2),"-")</f>
        <v>0</v>
      </c>
      <c r="L39" s="297"/>
      <c r="M39" s="295">
        <f t="shared" si="3"/>
        <v>0</v>
      </c>
      <c r="N39" s="298">
        <f>IFERROR(ROUND(IF('Состав ВТК'!$K32=справочник!$A$5,(IF(AND($A39='Состав ВТК'!$B32,$N$10=$C39),$F39*$D39*VLOOKUP($B39,Расценка!$H$3:$K$9,4,FALSE),0)),0),2),"-")</f>
        <v>0</v>
      </c>
      <c r="O39" s="298">
        <f>IFERROR(ROUND(IF('Состав ВТК'!$K32=справочник!$A$5,(IF(AND($A39='Состав ВТК'!$B32,$O$10=$C39),$F39*$D39*VLOOKUP($B39,Расценка!$H$3:$K$9,4,FALSE),0)),0),2),"-")</f>
        <v>0</v>
      </c>
      <c r="P39" s="299">
        <f t="shared" si="11"/>
        <v>0</v>
      </c>
      <c r="Q39" s="300">
        <f t="shared" si="4"/>
        <v>0</v>
      </c>
      <c r="R39" s="300">
        <f t="shared" si="5"/>
        <v>0</v>
      </c>
      <c r="S39" s="295">
        <f t="shared" si="6"/>
        <v>0</v>
      </c>
      <c r="T39" s="298">
        <f>IFERROR(ROUND(IF(AND('Расчет участников НИР'!$A39='Состав ВТК'!$B32,'Расчет участников НИР'!$T$10='Состав ВТК'!$I32),$E39,0),2),"-")</f>
        <v>0</v>
      </c>
      <c r="U39" s="298">
        <f>IFERROR(ROUND(IF(AND('Расчет участников НИР'!$A39='Состав ВТК'!$B32,'Расчет участников НИР'!$U$10='Состав ВТК'!$I32),$E39,0),2),"-")</f>
        <v>0</v>
      </c>
      <c r="V39" s="298">
        <f>IFERROR(ROUND(IF(AND('Расчет участников НИР'!$A39='Состав ВТК'!$B32,'Расчет участников НИР'!$V$10='Состав ВТК'!$I32),$E39,0),2),"-")</f>
        <v>0</v>
      </c>
      <c r="W39" s="301" t="str">
        <f t="shared" si="7"/>
        <v>-</v>
      </c>
      <c r="X39" s="301" t="str">
        <f t="shared" si="8"/>
        <v>-</v>
      </c>
      <c r="Y39" s="301" t="str">
        <f t="shared" si="9"/>
        <v>-</v>
      </c>
    </row>
    <row r="40" spans="1:25" x14ac:dyDescent="0.25">
      <c r="A40" s="217">
        <f>'Состав ВТК'!B33</f>
        <v>0</v>
      </c>
      <c r="B40" s="290">
        <f>IFERROR(VLOOKUP($A40,Распределение!$B$13:$L$113,11,FALSE),"-")</f>
        <v>0</v>
      </c>
      <c r="C40" s="291" t="str">
        <f>IFERROR(IF(VLOOKUP($B40,Расценка!$H$3:$I$9,2,FALSE)="НС",Расценка!$T$11,Расценка!$T$12),"-")</f>
        <v>-</v>
      </c>
      <c r="D40" s="291">
        <f>IFERROR(INDEX(Распределение!$1:$1048576,MATCH($A40,Распределение!$B:$B,0),MATCH($D$8,Распределение!$9:$9,0)),"---")</f>
        <v>0</v>
      </c>
      <c r="E40" s="292">
        <f>IFERROR(SUMIFS('Трудозатраты членов ВТК'!$G$17:$G$117,'Трудозатраты членов ВТК'!$D$17:$D$117,A:A),"-")</f>
        <v>0</v>
      </c>
      <c r="F40" s="293">
        <f>IFERROR(SUMIFS('Трудозатраты членов ВТК'!$F$464:$F$713,'Трудозатраты членов ВТК'!$D$464:$D$713,A:A),"-")</f>
        <v>0</v>
      </c>
      <c r="G40" s="302"/>
      <c r="H40" s="295">
        <f t="shared" si="10"/>
        <v>0</v>
      </c>
      <c r="I40" s="296">
        <f>IFERROR(ROUND(IF('Состав ВТК'!$K33=справочник!$A$5,IF(AND('Расчет участников НИР'!$A40='Состав ВТК'!$B33,$I$10='Состав ВТК'!$I33),$F40*$D40*VLOOKUP('Расчет участников НИР'!$B40,Расценка!$C$3:$E$13,3,FALSE),0),0),2),"-")</f>
        <v>0</v>
      </c>
      <c r="J40" s="296">
        <f>IFERROR(ROUND(IF('Состав ВТК'!$K33=справочник!$A$5,IF(AND('Расчет участников НИР'!$A40='Состав ВТК'!$B33,$J$10='Состав ВТК'!$I33),$F40*$D40*VLOOKUP('Расчет участников НИР'!$B40,Расценка!$C$3:$E$13,3,FALSE),0),0),2),"-")</f>
        <v>0</v>
      </c>
      <c r="K40" s="296">
        <f>IFERROR(ROUND(IF('Состав ВТК'!$K33=справочник!$A$5,IF(AND('Расчет участников НИР'!$A40='Состав ВТК'!$B33,$K$10='Состав ВТК'!$I33),$F40*$D40*VLOOKUP('Расчет участников НИР'!$B40,Расценка!$C$3:$E$13,3,FALSE),0),0),2),"-")</f>
        <v>0</v>
      </c>
      <c r="L40" s="297"/>
      <c r="M40" s="295">
        <f t="shared" si="3"/>
        <v>0</v>
      </c>
      <c r="N40" s="298">
        <f>IFERROR(ROUND(IF('Состав ВТК'!$K33=справочник!$A$5,(IF(AND($A40='Состав ВТК'!$B33,$N$10=$C40),$F40*$D40*VLOOKUP($B40,Расценка!$H$3:$K$9,4,FALSE),0)),0),2),"-")</f>
        <v>0</v>
      </c>
      <c r="O40" s="298">
        <f>IFERROR(ROUND(IF('Состав ВТК'!$K33=справочник!$A$5,(IF(AND($A40='Состав ВТК'!$B33,$O$10=$C40),$F40*$D40*VLOOKUP($B40,Расценка!$H$3:$K$9,4,FALSE),0)),0),2),"-")</f>
        <v>0</v>
      </c>
      <c r="P40" s="299">
        <f t="shared" si="11"/>
        <v>0</v>
      </c>
      <c r="Q40" s="300">
        <f t="shared" si="4"/>
        <v>0</v>
      </c>
      <c r="R40" s="300">
        <f t="shared" si="5"/>
        <v>0</v>
      </c>
      <c r="S40" s="295">
        <f t="shared" si="6"/>
        <v>0</v>
      </c>
      <c r="T40" s="298">
        <f>IFERROR(ROUND(IF(AND('Расчет участников НИР'!$A40='Состав ВТК'!$B33,'Расчет участников НИР'!$T$10='Состав ВТК'!$I33),$E40,0),2),"-")</f>
        <v>0</v>
      </c>
      <c r="U40" s="298">
        <f>IFERROR(ROUND(IF(AND('Расчет участников НИР'!$A40='Состав ВТК'!$B33,'Расчет участников НИР'!$U$10='Состав ВТК'!$I33),$E40,0),2),"-")</f>
        <v>0</v>
      </c>
      <c r="V40" s="298">
        <f>IFERROR(ROUND(IF(AND('Расчет участников НИР'!$A40='Состав ВТК'!$B33,'Расчет участников НИР'!$V$10='Состав ВТК'!$I33),$E40,0),2),"-")</f>
        <v>0</v>
      </c>
      <c r="W40" s="301" t="str">
        <f t="shared" si="7"/>
        <v>-</v>
      </c>
      <c r="X40" s="301" t="str">
        <f t="shared" si="8"/>
        <v>-</v>
      </c>
      <c r="Y40" s="301" t="str">
        <f t="shared" si="9"/>
        <v>-</v>
      </c>
    </row>
    <row r="41" spans="1:25" x14ac:dyDescent="0.25">
      <c r="A41" s="217">
        <f>'Состав ВТК'!B34</f>
        <v>0</v>
      </c>
      <c r="B41" s="290">
        <f>IFERROR(VLOOKUP($A41,Распределение!$B$13:$L$113,11,FALSE),"-")</f>
        <v>0</v>
      </c>
      <c r="C41" s="291" t="str">
        <f>IFERROR(IF(VLOOKUP($B41,Расценка!$H$3:$I$9,2,FALSE)="НС",Расценка!$T$11,Расценка!$T$12),"-")</f>
        <v>-</v>
      </c>
      <c r="D41" s="291">
        <f>IFERROR(INDEX(Распределение!$1:$1048576,MATCH($A41,Распределение!$B:$B,0),MATCH($D$8,Распределение!$9:$9,0)),"---")</f>
        <v>0</v>
      </c>
      <c r="E41" s="292">
        <f>IFERROR(SUMIFS('Трудозатраты членов ВТК'!$G$17:$G$117,'Трудозатраты членов ВТК'!$D$17:$D$117,A:A),"-")</f>
        <v>0</v>
      </c>
      <c r="F41" s="293">
        <f>IFERROR(SUMIFS('Трудозатраты членов ВТК'!$F$464:$F$713,'Трудозатраты членов ВТК'!$D$464:$D$713,A:A),"-")</f>
        <v>0</v>
      </c>
      <c r="G41" s="302"/>
      <c r="H41" s="295">
        <f t="shared" si="10"/>
        <v>0</v>
      </c>
      <c r="I41" s="296">
        <f>IFERROR(ROUND(IF('Состав ВТК'!$K34=справочник!$A$5,IF(AND('Расчет участников НИР'!$A41='Состав ВТК'!$B34,$I$10='Состав ВТК'!$I34),$F41*$D41*VLOOKUP('Расчет участников НИР'!$B41,Расценка!$C$3:$E$13,3,FALSE),0),0),2),"-")</f>
        <v>0</v>
      </c>
      <c r="J41" s="296">
        <f>IFERROR(ROUND(IF('Состав ВТК'!$K34=справочник!$A$5,IF(AND('Расчет участников НИР'!$A41='Состав ВТК'!$B34,$J$10='Состав ВТК'!$I34),$F41*$D41*VLOOKUP('Расчет участников НИР'!$B41,Расценка!$C$3:$E$13,3,FALSE),0),0),2),"-")</f>
        <v>0</v>
      </c>
      <c r="K41" s="296">
        <f>IFERROR(ROUND(IF('Состав ВТК'!$K34=справочник!$A$5,IF(AND('Расчет участников НИР'!$A41='Состав ВТК'!$B34,$K$10='Состав ВТК'!$I34),$F41*$D41*VLOOKUP('Расчет участников НИР'!$B41,Расценка!$C$3:$E$13,3,FALSE),0),0),2),"-")</f>
        <v>0</v>
      </c>
      <c r="L41" s="297"/>
      <c r="M41" s="295">
        <f t="shared" si="3"/>
        <v>0</v>
      </c>
      <c r="N41" s="298">
        <f>IFERROR(ROUND(IF('Состав ВТК'!$K34=справочник!$A$5,(IF(AND($A41='Состав ВТК'!$B34,$N$10=$C41),$F41*$D41*VLOOKUP($B41,Расценка!$H$3:$K$9,4,FALSE),0)),0),2),"-")</f>
        <v>0</v>
      </c>
      <c r="O41" s="298">
        <f>IFERROR(ROUND(IF('Состав ВТК'!$K34=справочник!$A$5,(IF(AND($A41='Состав ВТК'!$B34,$O$10=$C41),$F41*$D41*VLOOKUP($B41,Расценка!$H$3:$K$9,4,FALSE),0)),0),2),"-")</f>
        <v>0</v>
      </c>
      <c r="P41" s="299">
        <f t="shared" si="11"/>
        <v>0</v>
      </c>
      <c r="Q41" s="300">
        <f t="shared" si="4"/>
        <v>0</v>
      </c>
      <c r="R41" s="300">
        <f t="shared" si="5"/>
        <v>0</v>
      </c>
      <c r="S41" s="295">
        <f t="shared" si="6"/>
        <v>0</v>
      </c>
      <c r="T41" s="298">
        <f>IFERROR(ROUND(IF(AND('Расчет участников НИР'!$A41='Состав ВТК'!$B34,'Расчет участников НИР'!$T$10='Состав ВТК'!$I34),$E41,0),2),"-")</f>
        <v>0</v>
      </c>
      <c r="U41" s="298">
        <f>IFERROR(ROUND(IF(AND('Расчет участников НИР'!$A41='Состав ВТК'!$B34,'Расчет участников НИР'!$U$10='Состав ВТК'!$I34),$E41,0),2),"-")</f>
        <v>0</v>
      </c>
      <c r="V41" s="298">
        <f>IFERROR(ROUND(IF(AND('Расчет участников НИР'!$A41='Состав ВТК'!$B34,'Расчет участников НИР'!$V$10='Состав ВТК'!$I34),$E41,0),2),"-")</f>
        <v>0</v>
      </c>
      <c r="W41" s="301" t="str">
        <f t="shared" si="7"/>
        <v>-</v>
      </c>
      <c r="X41" s="301" t="str">
        <f t="shared" si="8"/>
        <v>-</v>
      </c>
      <c r="Y41" s="301" t="str">
        <f t="shared" si="9"/>
        <v>-</v>
      </c>
    </row>
    <row r="42" spans="1:25" x14ac:dyDescent="0.25">
      <c r="A42" s="217">
        <f>'Состав ВТК'!B35</f>
        <v>0</v>
      </c>
      <c r="B42" s="290">
        <f>IFERROR(VLOOKUP($A42,Распределение!$B$13:$L$113,11,FALSE),"-")</f>
        <v>0</v>
      </c>
      <c r="C42" s="291" t="str">
        <f>IFERROR(IF(VLOOKUP($B42,Расценка!$H$3:$I$9,2,FALSE)="НС",Расценка!$T$11,Расценка!$T$12),"-")</f>
        <v>-</v>
      </c>
      <c r="D42" s="291">
        <f>IFERROR(INDEX(Распределение!$1:$1048576,MATCH($A42,Распределение!$B:$B,0),MATCH($D$8,Распределение!$9:$9,0)),"---")</f>
        <v>0</v>
      </c>
      <c r="E42" s="292">
        <f>IFERROR(SUMIFS('Трудозатраты членов ВТК'!$G$17:$G$117,'Трудозатраты членов ВТК'!$D$17:$D$117,A:A),"-")</f>
        <v>0</v>
      </c>
      <c r="F42" s="293">
        <f>IFERROR(SUMIFS('Трудозатраты членов ВТК'!$F$464:$F$713,'Трудозатраты членов ВТК'!$D$464:$D$713,A:A),"-")</f>
        <v>0</v>
      </c>
      <c r="G42" s="302"/>
      <c r="H42" s="295">
        <f t="shared" si="10"/>
        <v>0</v>
      </c>
      <c r="I42" s="296">
        <f>IFERROR(ROUND(IF('Состав ВТК'!$K35=справочник!$A$5,IF(AND('Расчет участников НИР'!$A42='Состав ВТК'!$B35,$I$10='Состав ВТК'!$I35),$F42*$D42*VLOOKUP('Расчет участников НИР'!$B42,Расценка!$C$3:$E$13,3,FALSE),0),0),2),"-")</f>
        <v>0</v>
      </c>
      <c r="J42" s="296">
        <f>IFERROR(ROUND(IF('Состав ВТК'!$K35=справочник!$A$5,IF(AND('Расчет участников НИР'!$A42='Состав ВТК'!$B35,$J$10='Состав ВТК'!$I35),$F42*$D42*VLOOKUP('Расчет участников НИР'!$B42,Расценка!$C$3:$E$13,3,FALSE),0),0),2),"-")</f>
        <v>0</v>
      </c>
      <c r="K42" s="296">
        <f>IFERROR(ROUND(IF('Состав ВТК'!$K35=справочник!$A$5,IF(AND('Расчет участников НИР'!$A42='Состав ВТК'!$B35,$K$10='Состав ВТК'!$I35),$F42*$D42*VLOOKUP('Расчет участников НИР'!$B42,Расценка!$C$3:$E$13,3,FALSE),0),0),2),"-")</f>
        <v>0</v>
      </c>
      <c r="L42" s="297"/>
      <c r="M42" s="295">
        <f t="shared" si="3"/>
        <v>0</v>
      </c>
      <c r="N42" s="298">
        <f>IFERROR(ROUND(IF('Состав ВТК'!$K35=справочник!$A$5,(IF(AND($A42='Состав ВТК'!$B35,$N$10=$C42),$F42*$D42*VLOOKUP($B42,Расценка!$H$3:$K$9,4,FALSE),0)),0),2),"-")</f>
        <v>0</v>
      </c>
      <c r="O42" s="298">
        <f>IFERROR(ROUND(IF('Состав ВТК'!$K35=справочник!$A$5,(IF(AND($A42='Состав ВТК'!$B35,$O$10=$C42),$F42*$D42*VLOOKUP($B42,Расценка!$H$3:$K$9,4,FALSE),0)),0),2),"-")</f>
        <v>0</v>
      </c>
      <c r="P42" s="299">
        <f t="shared" si="11"/>
        <v>0</v>
      </c>
      <c r="Q42" s="300">
        <f t="shared" si="4"/>
        <v>0</v>
      </c>
      <c r="R42" s="300">
        <f t="shared" si="5"/>
        <v>0</v>
      </c>
      <c r="S42" s="295">
        <f t="shared" si="6"/>
        <v>0</v>
      </c>
      <c r="T42" s="298">
        <f>IFERROR(ROUND(IF(AND('Расчет участников НИР'!$A42='Состав ВТК'!$B35,'Расчет участников НИР'!$T$10='Состав ВТК'!$I35),$E42,0),2),"-")</f>
        <v>0</v>
      </c>
      <c r="U42" s="298">
        <f>IFERROR(ROUND(IF(AND('Расчет участников НИР'!$A42='Состав ВТК'!$B35,'Расчет участников НИР'!$U$10='Состав ВТК'!$I35),$E42,0),2),"-")</f>
        <v>0</v>
      </c>
      <c r="V42" s="298">
        <f>IFERROR(ROUND(IF(AND('Расчет участников НИР'!$A42='Состав ВТК'!$B35,'Расчет участников НИР'!$V$10='Состав ВТК'!$I35),$E42,0),2),"-")</f>
        <v>0</v>
      </c>
      <c r="W42" s="301" t="str">
        <f t="shared" si="7"/>
        <v>-</v>
      </c>
      <c r="X42" s="301" t="str">
        <f t="shared" si="8"/>
        <v>-</v>
      </c>
      <c r="Y42" s="301" t="str">
        <f t="shared" si="9"/>
        <v>-</v>
      </c>
    </row>
    <row r="43" spans="1:25" x14ac:dyDescent="0.25">
      <c r="A43" s="217">
        <f>'Состав ВТК'!B36</f>
        <v>0</v>
      </c>
      <c r="B43" s="290">
        <f>IFERROR(VLOOKUP($A43,Распределение!$B$13:$L$113,11,FALSE),"-")</f>
        <v>0</v>
      </c>
      <c r="C43" s="291" t="str">
        <f>IFERROR(IF(VLOOKUP($B43,Расценка!$H$3:$I$9,2,FALSE)="НС",Расценка!$T$11,Расценка!$T$12),"-")</f>
        <v>-</v>
      </c>
      <c r="D43" s="291">
        <f>IFERROR(INDEX(Распределение!$1:$1048576,MATCH($A43,Распределение!$B:$B,0),MATCH($D$8,Распределение!$9:$9,0)),"---")</f>
        <v>0</v>
      </c>
      <c r="E43" s="292">
        <f>IFERROR(SUMIFS('Трудозатраты членов ВТК'!$G$17:$G$117,'Трудозатраты членов ВТК'!$D$17:$D$117,A:A),"-")</f>
        <v>0</v>
      </c>
      <c r="F43" s="293">
        <f>IFERROR(SUMIFS('Трудозатраты членов ВТК'!$F$464:$F$713,'Трудозатраты членов ВТК'!$D$464:$D$713,A:A),"-")</f>
        <v>0</v>
      </c>
      <c r="G43" s="302"/>
      <c r="H43" s="295">
        <f t="shared" si="10"/>
        <v>0</v>
      </c>
      <c r="I43" s="296">
        <f>IFERROR(ROUND(IF('Состав ВТК'!$K36=справочник!$A$5,IF(AND('Расчет участников НИР'!$A43='Состав ВТК'!$B36,$I$10='Состав ВТК'!$I36),$F43*$D43*VLOOKUP('Расчет участников НИР'!$B43,Расценка!$C$3:$E$13,3,FALSE),0),0),2),"-")</f>
        <v>0</v>
      </c>
      <c r="J43" s="296">
        <f>IFERROR(ROUND(IF('Состав ВТК'!$K36=справочник!$A$5,IF(AND('Расчет участников НИР'!$A43='Состав ВТК'!$B36,$J$10='Состав ВТК'!$I36),$F43*$D43*VLOOKUP('Расчет участников НИР'!$B43,Расценка!$C$3:$E$13,3,FALSE),0),0),2),"-")</f>
        <v>0</v>
      </c>
      <c r="K43" s="296">
        <f>IFERROR(ROUND(IF('Состав ВТК'!$K36=справочник!$A$5,IF(AND('Расчет участников НИР'!$A43='Состав ВТК'!$B36,$K$10='Состав ВТК'!$I36),$F43*$D43*VLOOKUP('Расчет участников НИР'!$B43,Расценка!$C$3:$E$13,3,FALSE),0),0),2),"-")</f>
        <v>0</v>
      </c>
      <c r="L43" s="297"/>
      <c r="M43" s="295">
        <f t="shared" si="3"/>
        <v>0</v>
      </c>
      <c r="N43" s="298">
        <f>IFERROR(ROUND(IF('Состав ВТК'!$K36=справочник!$A$5,(IF(AND($A43='Состав ВТК'!$B36,$N$10=$C43),$F43*$D43*VLOOKUP($B43,Расценка!$H$3:$K$9,4,FALSE),0)),0),2),"-")</f>
        <v>0</v>
      </c>
      <c r="O43" s="298">
        <f>IFERROR(ROUND(IF('Состав ВТК'!$K36=справочник!$A$5,(IF(AND($A43='Состав ВТК'!$B36,$O$10=$C43),$F43*$D43*VLOOKUP($B43,Расценка!$H$3:$K$9,4,FALSE),0)),0),2),"-")</f>
        <v>0</v>
      </c>
      <c r="P43" s="299">
        <f t="shared" si="11"/>
        <v>0</v>
      </c>
      <c r="Q43" s="300">
        <f t="shared" si="4"/>
        <v>0</v>
      </c>
      <c r="R43" s="300">
        <f t="shared" si="5"/>
        <v>0</v>
      </c>
      <c r="S43" s="295">
        <f t="shared" si="6"/>
        <v>0</v>
      </c>
      <c r="T43" s="298">
        <f>IFERROR(ROUND(IF(AND('Расчет участников НИР'!$A43='Состав ВТК'!$B36,'Расчет участников НИР'!$T$10='Состав ВТК'!$I36),$E43,0),2),"-")</f>
        <v>0</v>
      </c>
      <c r="U43" s="298">
        <f>IFERROR(ROUND(IF(AND('Расчет участников НИР'!$A43='Состав ВТК'!$B36,'Расчет участников НИР'!$U$10='Состав ВТК'!$I36),$E43,0),2),"-")</f>
        <v>0</v>
      </c>
      <c r="V43" s="298">
        <f>IFERROR(ROUND(IF(AND('Расчет участников НИР'!$A43='Состав ВТК'!$B36,'Расчет участников НИР'!$V$10='Состав ВТК'!$I36),$E43,0),2),"-")</f>
        <v>0</v>
      </c>
      <c r="W43" s="301" t="str">
        <f t="shared" si="7"/>
        <v>-</v>
      </c>
      <c r="X43" s="301" t="str">
        <f t="shared" si="8"/>
        <v>-</v>
      </c>
      <c r="Y43" s="301" t="str">
        <f t="shared" si="9"/>
        <v>-</v>
      </c>
    </row>
    <row r="44" spans="1:25" x14ac:dyDescent="0.25">
      <c r="A44" s="217">
        <f>'Состав ВТК'!B37</f>
        <v>0</v>
      </c>
      <c r="B44" s="290">
        <f>IFERROR(VLOOKUP($A44,Распределение!$B$13:$L$113,11,FALSE),"-")</f>
        <v>0</v>
      </c>
      <c r="C44" s="291" t="str">
        <f>IFERROR(IF(VLOOKUP($B44,Расценка!$H$3:$I$9,2,FALSE)="НС",Расценка!$T$11,Расценка!$T$12),"-")</f>
        <v>-</v>
      </c>
      <c r="D44" s="291">
        <f>IFERROR(INDEX(Распределение!$1:$1048576,MATCH($A44,Распределение!$B:$B,0),MATCH($D$8,Распределение!$9:$9,0)),"---")</f>
        <v>0</v>
      </c>
      <c r="E44" s="292">
        <f>IFERROR(SUMIFS('Трудозатраты членов ВТК'!$G$17:$G$117,'Трудозатраты членов ВТК'!$D$17:$D$117,A:A),"-")</f>
        <v>0</v>
      </c>
      <c r="F44" s="293">
        <f>IFERROR(SUMIFS('Трудозатраты членов ВТК'!$F$464:$F$713,'Трудозатраты членов ВТК'!$D$464:$D$713,A:A),"-")</f>
        <v>0</v>
      </c>
      <c r="G44" s="302"/>
      <c r="H44" s="295">
        <f t="shared" si="10"/>
        <v>0</v>
      </c>
      <c r="I44" s="296">
        <f>IFERROR(ROUND(IF('Состав ВТК'!$K37=справочник!$A$5,IF(AND('Расчет участников НИР'!$A44='Состав ВТК'!$B37,$I$10='Состав ВТК'!$I37),$F44*$D44*VLOOKUP('Расчет участников НИР'!$B44,Расценка!$C$3:$E$13,3,FALSE),0),0),2),"-")</f>
        <v>0</v>
      </c>
      <c r="J44" s="296">
        <f>IFERROR(ROUND(IF('Состав ВТК'!$K37=справочник!$A$5,IF(AND('Расчет участников НИР'!$A44='Состав ВТК'!$B37,$J$10='Состав ВТК'!$I37),$F44*$D44*VLOOKUP('Расчет участников НИР'!$B44,Расценка!$C$3:$E$13,3,FALSE),0),0),2),"-")</f>
        <v>0</v>
      </c>
      <c r="K44" s="296">
        <f>IFERROR(ROUND(IF('Состав ВТК'!$K37=справочник!$A$5,IF(AND('Расчет участников НИР'!$A44='Состав ВТК'!$B37,$K$10='Состав ВТК'!$I37),$F44*$D44*VLOOKUP('Расчет участников НИР'!$B44,Расценка!$C$3:$E$13,3,FALSE),0),0),2),"-")</f>
        <v>0</v>
      </c>
      <c r="L44" s="297"/>
      <c r="M44" s="295">
        <f t="shared" si="3"/>
        <v>0</v>
      </c>
      <c r="N44" s="298">
        <f>IFERROR(ROUND(IF('Состав ВТК'!$K37=справочник!$A$5,(IF(AND($A44='Состав ВТК'!$B37,$N$10=$C44),$F44*$D44*VLOOKUP($B44,Расценка!$H$3:$K$9,4,FALSE),0)),0),2),"-")</f>
        <v>0</v>
      </c>
      <c r="O44" s="298">
        <f>IFERROR(ROUND(IF('Состав ВТК'!$K37=справочник!$A$5,(IF(AND($A44='Состав ВТК'!$B37,$O$10=$C44),$F44*$D44*VLOOKUP($B44,Расценка!$H$3:$K$9,4,FALSE),0)),0),2),"-")</f>
        <v>0</v>
      </c>
      <c r="P44" s="299">
        <f t="shared" si="11"/>
        <v>0</v>
      </c>
      <c r="Q44" s="300">
        <f t="shared" si="4"/>
        <v>0</v>
      </c>
      <c r="R44" s="300">
        <f t="shared" si="5"/>
        <v>0</v>
      </c>
      <c r="S44" s="295">
        <f t="shared" si="6"/>
        <v>0</v>
      </c>
      <c r="T44" s="298">
        <f>IFERROR(ROUND(IF(AND('Расчет участников НИР'!$A44='Состав ВТК'!$B37,'Расчет участников НИР'!$T$10='Состав ВТК'!$I37),$E44,0),2),"-")</f>
        <v>0</v>
      </c>
      <c r="U44" s="298">
        <f>IFERROR(ROUND(IF(AND('Расчет участников НИР'!$A44='Состав ВТК'!$B37,'Расчет участников НИР'!$U$10='Состав ВТК'!$I37),$E44,0),2),"-")</f>
        <v>0</v>
      </c>
      <c r="V44" s="298">
        <f>IFERROR(ROUND(IF(AND('Расчет участников НИР'!$A44='Состав ВТК'!$B37,'Расчет участников НИР'!$V$10='Состав ВТК'!$I37),$E44,0),2),"-")</f>
        <v>0</v>
      </c>
      <c r="W44" s="301" t="str">
        <f t="shared" si="7"/>
        <v>-</v>
      </c>
      <c r="X44" s="301" t="str">
        <f t="shared" si="8"/>
        <v>-</v>
      </c>
      <c r="Y44" s="301" t="str">
        <f t="shared" si="9"/>
        <v>-</v>
      </c>
    </row>
    <row r="45" spans="1:25" x14ac:dyDescent="0.25">
      <c r="A45" s="217">
        <f>'Состав ВТК'!B38</f>
        <v>0</v>
      </c>
      <c r="B45" s="290">
        <f>IFERROR(VLOOKUP($A45,Распределение!$B$13:$L$113,11,FALSE),"-")</f>
        <v>0</v>
      </c>
      <c r="C45" s="291" t="str">
        <f>IFERROR(IF(VLOOKUP($B45,Расценка!$H$3:$I$9,2,FALSE)="НС",Расценка!$T$11,Расценка!$T$12),"-")</f>
        <v>-</v>
      </c>
      <c r="D45" s="291">
        <f>IFERROR(INDEX(Распределение!$1:$1048576,MATCH($A45,Распределение!$B:$B,0),MATCH($D$8,Распределение!$9:$9,0)),"---")</f>
        <v>0</v>
      </c>
      <c r="E45" s="292">
        <f>IFERROR(SUMIFS('Трудозатраты членов ВТК'!$G$17:$G$117,'Трудозатраты членов ВТК'!$D$17:$D$117,A:A),"-")</f>
        <v>0</v>
      </c>
      <c r="F45" s="293">
        <f>IFERROR(SUMIFS('Трудозатраты членов ВТК'!$F$464:$F$713,'Трудозатраты членов ВТК'!$D$464:$D$713,A:A),"-")</f>
        <v>0</v>
      </c>
      <c r="G45" s="302"/>
      <c r="H45" s="295">
        <f t="shared" si="10"/>
        <v>0</v>
      </c>
      <c r="I45" s="296">
        <f>IFERROR(ROUND(IF('Состав ВТК'!$K38=справочник!$A$5,IF(AND('Расчет участников НИР'!$A45='Состав ВТК'!$B38,$I$10='Состав ВТК'!$I38),$F45*$D45*VLOOKUP('Расчет участников НИР'!$B45,Расценка!$C$3:$E$13,3,FALSE),0),0),2),"-")</f>
        <v>0</v>
      </c>
      <c r="J45" s="296">
        <f>IFERROR(ROUND(IF('Состав ВТК'!$K38=справочник!$A$5,IF(AND('Расчет участников НИР'!$A45='Состав ВТК'!$B38,$J$10='Состав ВТК'!$I38),$F45*$D45*VLOOKUP('Расчет участников НИР'!$B45,Расценка!$C$3:$E$13,3,FALSE),0),0),2),"-")</f>
        <v>0</v>
      </c>
      <c r="K45" s="296">
        <f>IFERROR(ROUND(IF('Состав ВТК'!$K38=справочник!$A$5,IF(AND('Расчет участников НИР'!$A45='Состав ВТК'!$B38,$K$10='Состав ВТК'!$I38),$F45*$D45*VLOOKUP('Расчет участников НИР'!$B45,Расценка!$C$3:$E$13,3,FALSE),0),0),2),"-")</f>
        <v>0</v>
      </c>
      <c r="L45" s="297"/>
      <c r="M45" s="295">
        <f t="shared" si="3"/>
        <v>0</v>
      </c>
      <c r="N45" s="298">
        <f>IFERROR(ROUND(IF('Состав ВТК'!$K38=справочник!$A$5,(IF(AND($A45='Состав ВТК'!$B38,$N$10=$C45),$F45*$D45*VLOOKUP($B45,Расценка!$H$3:$K$9,4,FALSE),0)),0),2),"-")</f>
        <v>0</v>
      </c>
      <c r="O45" s="298">
        <f>IFERROR(ROUND(IF('Состав ВТК'!$K38=справочник!$A$5,(IF(AND($A45='Состав ВТК'!$B38,$O$10=$C45),$F45*$D45*VLOOKUP($B45,Расценка!$H$3:$K$9,4,FALSE),0)),0),2),"-")</f>
        <v>0</v>
      </c>
      <c r="P45" s="299">
        <f t="shared" si="11"/>
        <v>0</v>
      </c>
      <c r="Q45" s="300">
        <f t="shared" si="4"/>
        <v>0</v>
      </c>
      <c r="R45" s="300">
        <f t="shared" si="5"/>
        <v>0</v>
      </c>
      <c r="S45" s="295">
        <f t="shared" si="6"/>
        <v>0</v>
      </c>
      <c r="T45" s="298">
        <f>IFERROR(ROUND(IF(AND('Расчет участников НИР'!$A45='Состав ВТК'!$B38,'Расчет участников НИР'!$T$10='Состав ВТК'!$I38),$E45,0),2),"-")</f>
        <v>0</v>
      </c>
      <c r="U45" s="298">
        <f>IFERROR(ROUND(IF(AND('Расчет участников НИР'!$A45='Состав ВТК'!$B38,'Расчет участников НИР'!$U$10='Состав ВТК'!$I38),$E45,0),2),"-")</f>
        <v>0</v>
      </c>
      <c r="V45" s="298">
        <f>IFERROR(ROUND(IF(AND('Расчет участников НИР'!$A45='Состав ВТК'!$B38,'Расчет участников НИР'!$V$10='Состав ВТК'!$I38),$E45,0),2),"-")</f>
        <v>0</v>
      </c>
      <c r="W45" s="301" t="str">
        <f t="shared" si="7"/>
        <v>-</v>
      </c>
      <c r="X45" s="301" t="str">
        <f t="shared" si="8"/>
        <v>-</v>
      </c>
      <c r="Y45" s="301" t="str">
        <f t="shared" si="9"/>
        <v>-</v>
      </c>
    </row>
    <row r="46" spans="1:25" x14ac:dyDescent="0.25">
      <c r="A46" s="217">
        <f>'Состав ВТК'!B39</f>
        <v>0</v>
      </c>
      <c r="B46" s="290">
        <f>IFERROR(VLOOKUP($A46,Распределение!$B$13:$L$113,11,FALSE),"-")</f>
        <v>0</v>
      </c>
      <c r="C46" s="291" t="str">
        <f>IFERROR(IF(VLOOKUP($B46,Расценка!$H$3:$I$9,2,FALSE)="НС",Расценка!$T$11,Расценка!$T$12),"-")</f>
        <v>-</v>
      </c>
      <c r="D46" s="291">
        <f>IFERROR(INDEX(Распределение!$1:$1048576,MATCH($A46,Распределение!$B:$B,0),MATCH($D$8,Распределение!$9:$9,0)),"---")</f>
        <v>0</v>
      </c>
      <c r="E46" s="292">
        <f>IFERROR(SUMIFS('Трудозатраты членов ВТК'!$G$17:$G$117,'Трудозатраты членов ВТК'!$D$17:$D$117,A:A),"-")</f>
        <v>0</v>
      </c>
      <c r="F46" s="293">
        <f>IFERROR(SUMIFS('Трудозатраты членов ВТК'!$F$464:$F$713,'Трудозатраты членов ВТК'!$D$464:$D$713,A:A),"-")</f>
        <v>0</v>
      </c>
      <c r="G46" s="302"/>
      <c r="H46" s="295">
        <f t="shared" si="10"/>
        <v>0</v>
      </c>
      <c r="I46" s="296">
        <f>IFERROR(ROUND(IF('Состав ВТК'!$K39=справочник!$A$5,IF(AND('Расчет участников НИР'!$A46='Состав ВТК'!$B39,$I$10='Состав ВТК'!$I39),$F46*$D46*VLOOKUP('Расчет участников НИР'!$B46,Расценка!$C$3:$E$13,3,FALSE),0),0),2),"-")</f>
        <v>0</v>
      </c>
      <c r="J46" s="296">
        <f>IFERROR(ROUND(IF('Состав ВТК'!$K39=справочник!$A$5,IF(AND('Расчет участников НИР'!$A46='Состав ВТК'!$B39,$J$10='Состав ВТК'!$I39),$F46*$D46*VLOOKUP('Расчет участников НИР'!$B46,Расценка!$C$3:$E$13,3,FALSE),0),0),2),"-")</f>
        <v>0</v>
      </c>
      <c r="K46" s="296">
        <f>IFERROR(ROUND(IF('Состав ВТК'!$K39=справочник!$A$5,IF(AND('Расчет участников НИР'!$A46='Состав ВТК'!$B39,$K$10='Состав ВТК'!$I39),$F46*$D46*VLOOKUP('Расчет участников НИР'!$B46,Расценка!$C$3:$E$13,3,FALSE),0),0),2),"-")</f>
        <v>0</v>
      </c>
      <c r="L46" s="297"/>
      <c r="M46" s="295">
        <f t="shared" si="3"/>
        <v>0</v>
      </c>
      <c r="N46" s="298">
        <f>IFERROR(ROUND(IF('Состав ВТК'!$K39=справочник!$A$5,(IF(AND($A46='Состав ВТК'!$B39,$N$10=$C46),$F46*$D46*VLOOKUP($B46,Расценка!$H$3:$K$9,4,FALSE),0)),0),2),"-")</f>
        <v>0</v>
      </c>
      <c r="O46" s="298">
        <f>IFERROR(ROUND(IF('Состав ВТК'!$K39=справочник!$A$5,(IF(AND($A46='Состав ВТК'!$B39,$O$10=$C46),$F46*$D46*VLOOKUP($B46,Расценка!$H$3:$K$9,4,FALSE),0)),0),2),"-")</f>
        <v>0</v>
      </c>
      <c r="P46" s="299">
        <f t="shared" si="11"/>
        <v>0</v>
      </c>
      <c r="Q46" s="300">
        <f t="shared" si="4"/>
        <v>0</v>
      </c>
      <c r="R46" s="300">
        <f t="shared" si="5"/>
        <v>0</v>
      </c>
      <c r="S46" s="295">
        <f t="shared" si="6"/>
        <v>0</v>
      </c>
      <c r="T46" s="298">
        <f>IFERROR(ROUND(IF(AND('Расчет участников НИР'!$A46='Состав ВТК'!$B39,'Расчет участников НИР'!$T$10='Состав ВТК'!$I39),$E46,0),2),"-")</f>
        <v>0</v>
      </c>
      <c r="U46" s="298">
        <f>IFERROR(ROUND(IF(AND('Расчет участников НИР'!$A46='Состав ВТК'!$B39,'Расчет участников НИР'!$U$10='Состав ВТК'!$I39),$E46,0),2),"-")</f>
        <v>0</v>
      </c>
      <c r="V46" s="298">
        <f>IFERROR(ROUND(IF(AND('Расчет участников НИР'!$A46='Состав ВТК'!$B39,'Расчет участников НИР'!$V$10='Состав ВТК'!$I39),$E46,0),2),"-")</f>
        <v>0</v>
      </c>
      <c r="W46" s="301" t="str">
        <f t="shared" si="7"/>
        <v>-</v>
      </c>
      <c r="X46" s="301" t="str">
        <f t="shared" si="8"/>
        <v>-</v>
      </c>
      <c r="Y46" s="301" t="str">
        <f t="shared" si="9"/>
        <v>-</v>
      </c>
    </row>
    <row r="47" spans="1:25" x14ac:dyDescent="0.25">
      <c r="A47" s="217">
        <f>'Состав ВТК'!B40</f>
        <v>0</v>
      </c>
      <c r="B47" s="290">
        <f>IFERROR(VLOOKUP($A47,Распределение!$B$13:$L$113,11,FALSE),"-")</f>
        <v>0</v>
      </c>
      <c r="C47" s="291" t="str">
        <f>IFERROR(IF(VLOOKUP($B47,Расценка!$H$3:$I$9,2,FALSE)="НС",Расценка!$T$11,Расценка!$T$12),"-")</f>
        <v>-</v>
      </c>
      <c r="D47" s="291">
        <f>IFERROR(INDEX(Распределение!$1:$1048576,MATCH($A47,Распределение!$B:$B,0),MATCH($D$8,Распределение!$9:$9,0)),"---")</f>
        <v>0</v>
      </c>
      <c r="E47" s="292">
        <f>IFERROR(SUMIFS('Трудозатраты членов ВТК'!$G$17:$G$117,'Трудозатраты членов ВТК'!$D$17:$D$117,A:A),"-")</f>
        <v>0</v>
      </c>
      <c r="F47" s="293">
        <f>IFERROR(SUMIFS('Трудозатраты членов ВТК'!$F$464:$F$713,'Трудозатраты членов ВТК'!$D$464:$D$713,A:A),"-")</f>
        <v>0</v>
      </c>
      <c r="G47" s="302"/>
      <c r="H47" s="295">
        <f t="shared" si="10"/>
        <v>0</v>
      </c>
      <c r="I47" s="296">
        <f>IFERROR(ROUND(IF('Состав ВТК'!$K40=справочник!$A$5,IF(AND('Расчет участников НИР'!$A47='Состав ВТК'!$B40,$I$10='Состав ВТК'!$I40),$F47*$D47*VLOOKUP('Расчет участников НИР'!$B47,Расценка!$C$3:$E$13,3,FALSE),0),0),2),"-")</f>
        <v>0</v>
      </c>
      <c r="J47" s="296">
        <f>IFERROR(ROUND(IF('Состав ВТК'!$K40=справочник!$A$5,IF(AND('Расчет участников НИР'!$A47='Состав ВТК'!$B40,$J$10='Состав ВТК'!$I40),$F47*$D47*VLOOKUP('Расчет участников НИР'!$B47,Расценка!$C$3:$E$13,3,FALSE),0),0),2),"-")</f>
        <v>0</v>
      </c>
      <c r="K47" s="296">
        <f>IFERROR(ROUND(IF('Состав ВТК'!$K40=справочник!$A$5,IF(AND('Расчет участников НИР'!$A47='Состав ВТК'!$B40,$K$10='Состав ВТК'!$I40),$F47*$D47*VLOOKUP('Расчет участников НИР'!$B47,Расценка!$C$3:$E$13,3,FALSE),0),0),2),"-")</f>
        <v>0</v>
      </c>
      <c r="L47" s="297"/>
      <c r="M47" s="295">
        <f t="shared" si="3"/>
        <v>0</v>
      </c>
      <c r="N47" s="298">
        <f>IFERROR(ROUND(IF('Состав ВТК'!$K40=справочник!$A$5,(IF(AND($A47='Состав ВТК'!$B40,$N$10=$C47),$F47*$D47*VLOOKUP($B47,Расценка!$H$3:$K$9,4,FALSE),0)),0),2),"-")</f>
        <v>0</v>
      </c>
      <c r="O47" s="298">
        <f>IFERROR(ROUND(IF('Состав ВТК'!$K40=справочник!$A$5,(IF(AND($A47='Состав ВТК'!$B40,$O$10=$C47),$F47*$D47*VLOOKUP($B47,Расценка!$H$3:$K$9,4,FALSE),0)),0),2),"-")</f>
        <v>0</v>
      </c>
      <c r="P47" s="299">
        <f t="shared" si="11"/>
        <v>0</v>
      </c>
      <c r="Q47" s="300">
        <f t="shared" si="4"/>
        <v>0</v>
      </c>
      <c r="R47" s="300">
        <f t="shared" si="5"/>
        <v>0</v>
      </c>
      <c r="S47" s="295">
        <f t="shared" si="6"/>
        <v>0</v>
      </c>
      <c r="T47" s="298">
        <f>IFERROR(ROUND(IF(AND('Расчет участников НИР'!$A47='Состав ВТК'!$B40,'Расчет участников НИР'!$T$10='Состав ВТК'!$I40),$E47,0),2),"-")</f>
        <v>0</v>
      </c>
      <c r="U47" s="298">
        <f>IFERROR(ROUND(IF(AND('Расчет участников НИР'!$A47='Состав ВТК'!$B40,'Расчет участников НИР'!$U$10='Состав ВТК'!$I40),$E47,0),2),"-")</f>
        <v>0</v>
      </c>
      <c r="V47" s="298">
        <f>IFERROR(ROUND(IF(AND('Расчет участников НИР'!$A47='Состав ВТК'!$B40,'Расчет участников НИР'!$V$10='Состав ВТК'!$I40),$E47,0),2),"-")</f>
        <v>0</v>
      </c>
      <c r="W47" s="301" t="str">
        <f t="shared" si="7"/>
        <v>-</v>
      </c>
      <c r="X47" s="301" t="str">
        <f t="shared" si="8"/>
        <v>-</v>
      </c>
      <c r="Y47" s="301" t="str">
        <f t="shared" si="9"/>
        <v>-</v>
      </c>
    </row>
    <row r="48" spans="1:25" x14ac:dyDescent="0.25">
      <c r="A48" s="217">
        <f>'Состав ВТК'!B41</f>
        <v>0</v>
      </c>
      <c r="B48" s="290">
        <f>IFERROR(VLOOKUP($A48,Распределение!$B$13:$L$113,11,FALSE),"-")</f>
        <v>0</v>
      </c>
      <c r="C48" s="291" t="str">
        <f>IFERROR(IF(VLOOKUP($B48,Расценка!$H$3:$I$9,2,FALSE)="НС",Расценка!$T$11,Расценка!$T$12),"-")</f>
        <v>-</v>
      </c>
      <c r="D48" s="291">
        <f>IFERROR(INDEX(Распределение!$1:$1048576,MATCH($A48,Распределение!$B:$B,0),MATCH($D$8,Распределение!$9:$9,0)),"---")</f>
        <v>0</v>
      </c>
      <c r="E48" s="292">
        <f>IFERROR(SUMIFS('Трудозатраты членов ВТК'!$G$17:$G$117,'Трудозатраты членов ВТК'!$D$17:$D$117,A:A),"-")</f>
        <v>0</v>
      </c>
      <c r="F48" s="293">
        <f>IFERROR(SUMIFS('Трудозатраты членов ВТК'!$F$464:$F$713,'Трудозатраты членов ВТК'!$D$464:$D$713,A:A),"-")</f>
        <v>0</v>
      </c>
      <c r="G48" s="302"/>
      <c r="H48" s="295">
        <f t="shared" si="10"/>
        <v>0</v>
      </c>
      <c r="I48" s="296">
        <f>IFERROR(ROUND(IF('Состав ВТК'!$K41=справочник!$A$5,IF(AND('Расчет участников НИР'!$A48='Состав ВТК'!$B41,$I$10='Состав ВТК'!$I41),$F48*$D48*VLOOKUP('Расчет участников НИР'!$B48,Расценка!$C$3:$E$13,3,FALSE),0),0),2),"-")</f>
        <v>0</v>
      </c>
      <c r="J48" s="296">
        <f>IFERROR(ROUND(IF('Состав ВТК'!$K41=справочник!$A$5,IF(AND('Расчет участников НИР'!$A48='Состав ВТК'!$B41,$J$10='Состав ВТК'!$I41),$F48*$D48*VLOOKUP('Расчет участников НИР'!$B48,Расценка!$C$3:$E$13,3,FALSE),0),0),2),"-")</f>
        <v>0</v>
      </c>
      <c r="K48" s="296">
        <f>IFERROR(ROUND(IF('Состав ВТК'!$K41=справочник!$A$5,IF(AND('Расчет участников НИР'!$A48='Состав ВТК'!$B41,$K$10='Состав ВТК'!$I41),$F48*$D48*VLOOKUP('Расчет участников НИР'!$B48,Расценка!$C$3:$E$13,3,FALSE),0),0),2),"-")</f>
        <v>0</v>
      </c>
      <c r="L48" s="297"/>
      <c r="M48" s="295">
        <f t="shared" si="3"/>
        <v>0</v>
      </c>
      <c r="N48" s="298">
        <f>IFERROR(ROUND(IF('Состав ВТК'!$K41=справочник!$A$5,(IF(AND($A48='Состав ВТК'!$B41,$N$10=$C48),$F48*$D48*VLOOKUP($B48,Расценка!$H$3:$K$9,4,FALSE),0)),0),2),"-")</f>
        <v>0</v>
      </c>
      <c r="O48" s="298">
        <f>IFERROR(ROUND(IF('Состав ВТК'!$K41=справочник!$A$5,(IF(AND($A48='Состав ВТК'!$B41,$O$10=$C48),$F48*$D48*VLOOKUP($B48,Расценка!$H$3:$K$9,4,FALSE),0)),0),2),"-")</f>
        <v>0</v>
      </c>
      <c r="P48" s="299">
        <f t="shared" si="11"/>
        <v>0</v>
      </c>
      <c r="Q48" s="300">
        <f t="shared" si="4"/>
        <v>0</v>
      </c>
      <c r="R48" s="300">
        <f t="shared" si="5"/>
        <v>0</v>
      </c>
      <c r="S48" s="295">
        <f t="shared" si="6"/>
        <v>0</v>
      </c>
      <c r="T48" s="298">
        <f>IFERROR(ROUND(IF(AND('Расчет участников НИР'!$A48='Состав ВТК'!$B41,'Расчет участников НИР'!$T$10='Состав ВТК'!$I41),$E48,0),2),"-")</f>
        <v>0</v>
      </c>
      <c r="U48" s="298">
        <f>IFERROR(ROUND(IF(AND('Расчет участников НИР'!$A48='Состав ВТК'!$B41,'Расчет участников НИР'!$U$10='Состав ВТК'!$I41),$E48,0),2),"-")</f>
        <v>0</v>
      </c>
      <c r="V48" s="298">
        <f>IFERROR(ROUND(IF(AND('Расчет участников НИР'!$A48='Состав ВТК'!$B41,'Расчет участников НИР'!$V$10='Состав ВТК'!$I41),$E48,0),2),"-")</f>
        <v>0</v>
      </c>
      <c r="W48" s="301" t="str">
        <f t="shared" si="7"/>
        <v>-</v>
      </c>
      <c r="X48" s="301" t="str">
        <f t="shared" si="8"/>
        <v>-</v>
      </c>
      <c r="Y48" s="301" t="str">
        <f t="shared" si="9"/>
        <v>-</v>
      </c>
    </row>
    <row r="49" spans="1:25" x14ac:dyDescent="0.25">
      <c r="A49" s="217">
        <f>'Состав ВТК'!B42</f>
        <v>0</v>
      </c>
      <c r="B49" s="290">
        <f>IFERROR(VLOOKUP($A49,Распределение!$B$13:$L$113,11,FALSE),"-")</f>
        <v>0</v>
      </c>
      <c r="C49" s="291" t="str">
        <f>IFERROR(IF(VLOOKUP($B49,Расценка!$H$3:$I$9,2,FALSE)="НС",Расценка!$T$11,Расценка!$T$12),"-")</f>
        <v>-</v>
      </c>
      <c r="D49" s="291">
        <f>IFERROR(INDEX(Распределение!$1:$1048576,MATCH($A49,Распределение!$B:$B,0),MATCH($D$8,Распределение!$9:$9,0)),"---")</f>
        <v>0</v>
      </c>
      <c r="E49" s="292">
        <f>IFERROR(SUMIFS('Трудозатраты членов ВТК'!$G$17:$G$117,'Трудозатраты членов ВТК'!$D$17:$D$117,A:A),"-")</f>
        <v>0</v>
      </c>
      <c r="F49" s="293">
        <f>IFERROR(SUMIFS('Трудозатраты членов ВТК'!$F$464:$F$713,'Трудозатраты членов ВТК'!$D$464:$D$713,A:A),"-")</f>
        <v>0</v>
      </c>
      <c r="G49" s="302"/>
      <c r="H49" s="295">
        <f t="shared" si="10"/>
        <v>0</v>
      </c>
      <c r="I49" s="296">
        <f>IFERROR(ROUND(IF('Состав ВТК'!$K42=справочник!$A$5,IF(AND('Расчет участников НИР'!$A49='Состав ВТК'!$B42,$I$10='Состав ВТК'!$I42),$F49*$D49*VLOOKUP('Расчет участников НИР'!$B49,Расценка!$C$3:$E$13,3,FALSE),0),0),2),"-")</f>
        <v>0</v>
      </c>
      <c r="J49" s="296">
        <f>IFERROR(ROUND(IF('Состав ВТК'!$K42=справочник!$A$5,IF(AND('Расчет участников НИР'!$A49='Состав ВТК'!$B42,$J$10='Состав ВТК'!$I42),$F49*$D49*VLOOKUP('Расчет участников НИР'!$B49,Расценка!$C$3:$E$13,3,FALSE),0),0),2),"-")</f>
        <v>0</v>
      </c>
      <c r="K49" s="296">
        <f>IFERROR(ROUND(IF('Состав ВТК'!$K42=справочник!$A$5,IF(AND('Расчет участников НИР'!$A49='Состав ВТК'!$B42,$K$10='Состав ВТК'!$I42),$F49*$D49*VLOOKUP('Расчет участников НИР'!$B49,Расценка!$C$3:$E$13,3,FALSE),0),0),2),"-")</f>
        <v>0</v>
      </c>
      <c r="L49" s="297"/>
      <c r="M49" s="295">
        <f t="shared" si="3"/>
        <v>0</v>
      </c>
      <c r="N49" s="298">
        <f>IFERROR(ROUND(IF('Состав ВТК'!$K42=справочник!$A$5,(IF(AND($A49='Состав ВТК'!$B42,$N$10=$C49),$F49*$D49*VLOOKUP($B49,Расценка!$H$3:$K$9,4,FALSE),0)),0),2),"-")</f>
        <v>0</v>
      </c>
      <c r="O49" s="298">
        <f>IFERROR(ROUND(IF('Состав ВТК'!$K42=справочник!$A$5,(IF(AND($A49='Состав ВТК'!$B42,$O$10=$C49),$F49*$D49*VLOOKUP($B49,Расценка!$H$3:$K$9,4,FALSE),0)),0),2),"-")</f>
        <v>0</v>
      </c>
      <c r="P49" s="299">
        <f t="shared" si="11"/>
        <v>0</v>
      </c>
      <c r="Q49" s="300">
        <f t="shared" si="4"/>
        <v>0</v>
      </c>
      <c r="R49" s="300">
        <f t="shared" si="5"/>
        <v>0</v>
      </c>
      <c r="S49" s="295">
        <f t="shared" si="6"/>
        <v>0</v>
      </c>
      <c r="T49" s="298">
        <f>IFERROR(ROUND(IF(AND('Расчет участников НИР'!$A49='Состав ВТК'!$B42,'Расчет участников НИР'!$T$10='Состав ВТК'!$I42),$E49,0),2),"-")</f>
        <v>0</v>
      </c>
      <c r="U49" s="298">
        <f>IFERROR(ROUND(IF(AND('Расчет участников НИР'!$A49='Состав ВТК'!$B42,'Расчет участников НИР'!$U$10='Состав ВТК'!$I42),$E49,0),2),"-")</f>
        <v>0</v>
      </c>
      <c r="V49" s="298">
        <f>IFERROR(ROUND(IF(AND('Расчет участников НИР'!$A49='Состав ВТК'!$B42,'Расчет участников НИР'!$V$10='Состав ВТК'!$I42),$E49,0),2),"-")</f>
        <v>0</v>
      </c>
      <c r="W49" s="301" t="str">
        <f t="shared" si="7"/>
        <v>-</v>
      </c>
      <c r="X49" s="301" t="str">
        <f t="shared" si="8"/>
        <v>-</v>
      </c>
      <c r="Y49" s="301" t="str">
        <f t="shared" si="9"/>
        <v>-</v>
      </c>
    </row>
    <row r="50" spans="1:25" x14ac:dyDescent="0.25">
      <c r="A50" s="217">
        <f>'Состав ВТК'!B43</f>
        <v>0</v>
      </c>
      <c r="B50" s="290">
        <f>IFERROR(VLOOKUP($A50,Распределение!$B$13:$L$113,11,FALSE),"-")</f>
        <v>0</v>
      </c>
      <c r="C50" s="291" t="str">
        <f>IFERROR(IF(VLOOKUP($B50,Расценка!$H$3:$I$9,2,FALSE)="НС",Расценка!$T$11,Расценка!$T$12),"-")</f>
        <v>-</v>
      </c>
      <c r="D50" s="291">
        <f>IFERROR(INDEX(Распределение!$1:$1048576,MATCH($A50,Распределение!$B:$B,0),MATCH($D$8,Распределение!$9:$9,0)),"---")</f>
        <v>0</v>
      </c>
      <c r="E50" s="292">
        <f>IFERROR(SUMIFS('Трудозатраты членов ВТК'!$G$17:$G$117,'Трудозатраты членов ВТК'!$D$17:$D$117,A:A),"-")</f>
        <v>0</v>
      </c>
      <c r="F50" s="293">
        <f>IFERROR(SUMIFS('Трудозатраты членов ВТК'!$F$464:$F$713,'Трудозатраты членов ВТК'!$D$464:$D$713,A:A),"-")</f>
        <v>0</v>
      </c>
      <c r="G50" s="302"/>
      <c r="H50" s="295">
        <f t="shared" si="10"/>
        <v>0</v>
      </c>
      <c r="I50" s="296">
        <f>IFERROR(ROUND(IF('Состав ВТК'!$K43=справочник!$A$5,IF(AND('Расчет участников НИР'!$A50='Состав ВТК'!$B43,$I$10='Состав ВТК'!$I43),$F50*$D50*VLOOKUP('Расчет участников НИР'!$B50,Расценка!$C$3:$E$13,3,FALSE),0),0),2),"-")</f>
        <v>0</v>
      </c>
      <c r="J50" s="296">
        <f>IFERROR(ROUND(IF('Состав ВТК'!$K43=справочник!$A$5,IF(AND('Расчет участников НИР'!$A50='Состав ВТК'!$B43,$J$10='Состав ВТК'!$I43),$F50*$D50*VLOOKUP('Расчет участников НИР'!$B50,Расценка!$C$3:$E$13,3,FALSE),0),0),2),"-")</f>
        <v>0</v>
      </c>
      <c r="K50" s="296">
        <f>IFERROR(ROUND(IF('Состав ВТК'!$K43=справочник!$A$5,IF(AND('Расчет участников НИР'!$A50='Состав ВТК'!$B43,$K$10='Состав ВТК'!$I43),$F50*$D50*VLOOKUP('Расчет участников НИР'!$B50,Расценка!$C$3:$E$13,3,FALSE),0),0),2),"-")</f>
        <v>0</v>
      </c>
      <c r="L50" s="297"/>
      <c r="M50" s="295">
        <f t="shared" si="3"/>
        <v>0</v>
      </c>
      <c r="N50" s="298">
        <f>IFERROR(ROUND(IF('Состав ВТК'!$K43=справочник!$A$5,(IF(AND($A50='Состав ВТК'!$B43,$N$10=$C50),$F50*$D50*VLOOKUP($B50,Расценка!$H$3:$K$9,4,FALSE),0)),0),2),"-")</f>
        <v>0</v>
      </c>
      <c r="O50" s="298">
        <f>IFERROR(ROUND(IF('Состав ВТК'!$K43=справочник!$A$5,(IF(AND($A50='Состав ВТК'!$B43,$O$10=$C50),$F50*$D50*VLOOKUP($B50,Расценка!$H$3:$K$9,4,FALSE),0)),0),2),"-")</f>
        <v>0</v>
      </c>
      <c r="P50" s="299">
        <f t="shared" si="11"/>
        <v>0</v>
      </c>
      <c r="Q50" s="300">
        <f t="shared" si="4"/>
        <v>0</v>
      </c>
      <c r="R50" s="300">
        <f t="shared" si="5"/>
        <v>0</v>
      </c>
      <c r="S50" s="295">
        <f t="shared" si="6"/>
        <v>0</v>
      </c>
      <c r="T50" s="298">
        <f>IFERROR(ROUND(IF(AND('Расчет участников НИР'!$A50='Состав ВТК'!$B43,'Расчет участников НИР'!$T$10='Состав ВТК'!$I43),$E50,0),2),"-")</f>
        <v>0</v>
      </c>
      <c r="U50" s="298">
        <f>IFERROR(ROUND(IF(AND('Расчет участников НИР'!$A50='Состав ВТК'!$B43,'Расчет участников НИР'!$U$10='Состав ВТК'!$I43),$E50,0),2),"-")</f>
        <v>0</v>
      </c>
      <c r="V50" s="298">
        <f>IFERROR(ROUND(IF(AND('Расчет участников НИР'!$A50='Состав ВТК'!$B43,'Расчет участников НИР'!$V$10='Состав ВТК'!$I43),$E50,0),2),"-")</f>
        <v>0</v>
      </c>
      <c r="W50" s="301" t="str">
        <f t="shared" si="7"/>
        <v>-</v>
      </c>
      <c r="X50" s="301" t="str">
        <f t="shared" si="8"/>
        <v>-</v>
      </c>
      <c r="Y50" s="301" t="str">
        <f t="shared" si="9"/>
        <v>-</v>
      </c>
    </row>
    <row r="51" spans="1:25" x14ac:dyDescent="0.25">
      <c r="A51" s="217">
        <f>'Состав ВТК'!B44</f>
        <v>0</v>
      </c>
      <c r="B51" s="290">
        <f>IFERROR(VLOOKUP($A51,Распределение!$B$13:$L$113,11,FALSE),"-")</f>
        <v>0</v>
      </c>
      <c r="C51" s="291" t="str">
        <f>IFERROR(IF(VLOOKUP($B51,Расценка!$H$3:$I$9,2,FALSE)="НС",Расценка!$T$11,Расценка!$T$12),"-")</f>
        <v>-</v>
      </c>
      <c r="D51" s="291">
        <f>IFERROR(INDEX(Распределение!$1:$1048576,MATCH($A51,Распределение!$B:$B,0),MATCH($D$8,Распределение!$9:$9,0)),"---")</f>
        <v>0</v>
      </c>
      <c r="E51" s="292">
        <f>IFERROR(SUMIFS('Трудозатраты членов ВТК'!$G$17:$G$117,'Трудозатраты членов ВТК'!$D$17:$D$117,A:A),"-")</f>
        <v>0</v>
      </c>
      <c r="F51" s="293">
        <f>IFERROR(SUMIFS('Трудозатраты членов ВТК'!$F$464:$F$713,'Трудозатраты членов ВТК'!$D$464:$D$713,A:A),"-")</f>
        <v>0</v>
      </c>
      <c r="G51" s="302"/>
      <c r="H51" s="295">
        <f t="shared" si="10"/>
        <v>0</v>
      </c>
      <c r="I51" s="296">
        <f>IFERROR(ROUND(IF('Состав ВТК'!$K44=справочник!$A$5,IF(AND('Расчет участников НИР'!$A51='Состав ВТК'!$B44,$I$10='Состав ВТК'!$I44),$F51*$D51*VLOOKUP('Расчет участников НИР'!$B51,Расценка!$C$3:$E$13,3,FALSE),0),0),2),"-")</f>
        <v>0</v>
      </c>
      <c r="J51" s="296">
        <f>IFERROR(ROUND(IF('Состав ВТК'!$K44=справочник!$A$5,IF(AND('Расчет участников НИР'!$A51='Состав ВТК'!$B44,$J$10='Состав ВТК'!$I44),$F51*$D51*VLOOKUP('Расчет участников НИР'!$B51,Расценка!$C$3:$E$13,3,FALSE),0),0),2),"-")</f>
        <v>0</v>
      </c>
      <c r="K51" s="296">
        <f>IFERROR(ROUND(IF('Состав ВТК'!$K44=справочник!$A$5,IF(AND('Расчет участников НИР'!$A51='Состав ВТК'!$B44,$K$10='Состав ВТК'!$I44),$F51*$D51*VLOOKUP('Расчет участников НИР'!$B51,Расценка!$C$3:$E$13,3,FALSE),0),0),2),"-")</f>
        <v>0</v>
      </c>
      <c r="L51" s="297"/>
      <c r="M51" s="295">
        <f t="shared" si="3"/>
        <v>0</v>
      </c>
      <c r="N51" s="298">
        <f>IFERROR(ROUND(IF('Состав ВТК'!$K44=справочник!$A$5,(IF(AND($A51='Состав ВТК'!$B44,$N$10=$C51),$F51*$D51*VLOOKUP($B51,Расценка!$H$3:$K$9,4,FALSE),0)),0),2),"-")</f>
        <v>0</v>
      </c>
      <c r="O51" s="298">
        <f>IFERROR(ROUND(IF('Состав ВТК'!$K44=справочник!$A$5,(IF(AND($A51='Состав ВТК'!$B44,$O$10=$C51),$F51*$D51*VLOOKUP($B51,Расценка!$H$3:$K$9,4,FALSE),0)),0),2),"-")</f>
        <v>0</v>
      </c>
      <c r="P51" s="299">
        <f t="shared" si="11"/>
        <v>0</v>
      </c>
      <c r="Q51" s="300">
        <f t="shared" si="4"/>
        <v>0</v>
      </c>
      <c r="R51" s="300">
        <f t="shared" si="5"/>
        <v>0</v>
      </c>
      <c r="S51" s="295">
        <f t="shared" si="6"/>
        <v>0</v>
      </c>
      <c r="T51" s="298">
        <f>IFERROR(ROUND(IF(AND('Расчет участников НИР'!$A51='Состав ВТК'!$B44,'Расчет участников НИР'!$T$10='Состав ВТК'!$I44),$E51,0),2),"-")</f>
        <v>0</v>
      </c>
      <c r="U51" s="298">
        <f>IFERROR(ROUND(IF(AND('Расчет участников НИР'!$A51='Состав ВТК'!$B44,'Расчет участников НИР'!$U$10='Состав ВТК'!$I44),$E51,0),2),"-")</f>
        <v>0</v>
      </c>
      <c r="V51" s="298">
        <f>IFERROR(ROUND(IF(AND('Расчет участников НИР'!$A51='Состав ВТК'!$B44,'Расчет участников НИР'!$V$10='Состав ВТК'!$I44),$E51,0),2),"-")</f>
        <v>0</v>
      </c>
      <c r="W51" s="301" t="str">
        <f t="shared" si="7"/>
        <v>-</v>
      </c>
      <c r="X51" s="301" t="str">
        <f t="shared" si="8"/>
        <v>-</v>
      </c>
      <c r="Y51" s="301" t="str">
        <f t="shared" si="9"/>
        <v>-</v>
      </c>
    </row>
    <row r="52" spans="1:25" x14ac:dyDescent="0.25">
      <c r="A52" s="217">
        <f>'Состав ВТК'!B45</f>
        <v>0</v>
      </c>
      <c r="B52" s="290">
        <f>IFERROR(VLOOKUP($A52,Распределение!$B$13:$L$113,11,FALSE),"-")</f>
        <v>0</v>
      </c>
      <c r="C52" s="291" t="str">
        <f>IFERROR(IF(VLOOKUP($B52,Расценка!$H$3:$I$9,2,FALSE)="НС",Расценка!$T$11,Расценка!$T$12),"-")</f>
        <v>-</v>
      </c>
      <c r="D52" s="291">
        <f>IFERROR(INDEX(Распределение!$1:$1048576,MATCH($A52,Распределение!$B:$B,0),MATCH($D$8,Распределение!$9:$9,0)),"---")</f>
        <v>0</v>
      </c>
      <c r="E52" s="292">
        <f>IFERROR(SUMIFS('Трудозатраты членов ВТК'!$G$17:$G$117,'Трудозатраты членов ВТК'!$D$17:$D$117,A:A),"-")</f>
        <v>0</v>
      </c>
      <c r="F52" s="293">
        <f>IFERROR(SUMIFS('Трудозатраты членов ВТК'!$F$464:$F$713,'Трудозатраты членов ВТК'!$D$464:$D$713,A:A),"-")</f>
        <v>0</v>
      </c>
      <c r="G52" s="302"/>
      <c r="H52" s="295">
        <f t="shared" si="10"/>
        <v>0</v>
      </c>
      <c r="I52" s="296">
        <f>IFERROR(ROUND(IF('Состав ВТК'!$K45=справочник!$A$5,IF(AND('Расчет участников НИР'!$A52='Состав ВТК'!$B45,$I$10='Состав ВТК'!$I45),$F52*$D52*VLOOKUP('Расчет участников НИР'!$B52,Расценка!$C$3:$E$13,3,FALSE),0),0),2),"-")</f>
        <v>0</v>
      </c>
      <c r="J52" s="296">
        <f>IFERROR(ROUND(IF('Состав ВТК'!$K45=справочник!$A$5,IF(AND('Расчет участников НИР'!$A52='Состав ВТК'!$B45,$J$10='Состав ВТК'!$I45),$F52*$D52*VLOOKUP('Расчет участников НИР'!$B52,Расценка!$C$3:$E$13,3,FALSE),0),0),2),"-")</f>
        <v>0</v>
      </c>
      <c r="K52" s="296">
        <f>IFERROR(ROUND(IF('Состав ВТК'!$K45=справочник!$A$5,IF(AND('Расчет участников НИР'!$A52='Состав ВТК'!$B45,$K$10='Состав ВТК'!$I45),$F52*$D52*VLOOKUP('Расчет участников НИР'!$B52,Расценка!$C$3:$E$13,3,FALSE),0),0),2),"-")</f>
        <v>0</v>
      </c>
      <c r="L52" s="297"/>
      <c r="M52" s="295">
        <f t="shared" si="3"/>
        <v>0</v>
      </c>
      <c r="N52" s="298">
        <f>IFERROR(ROUND(IF('Состав ВТК'!$K45=справочник!$A$5,(IF(AND($A52='Состав ВТК'!$B45,$N$10=$C52),$F52*$D52*VLOOKUP($B52,Расценка!$H$3:$K$9,4,FALSE),0)),0),2),"-")</f>
        <v>0</v>
      </c>
      <c r="O52" s="298">
        <f>IFERROR(ROUND(IF('Состав ВТК'!$K45=справочник!$A$5,(IF(AND($A52='Состав ВТК'!$B45,$O$10=$C52),$F52*$D52*VLOOKUP($B52,Расценка!$H$3:$K$9,4,FALSE),0)),0),2),"-")</f>
        <v>0</v>
      </c>
      <c r="P52" s="299">
        <f t="shared" si="11"/>
        <v>0</v>
      </c>
      <c r="Q52" s="300">
        <f t="shared" si="4"/>
        <v>0</v>
      </c>
      <c r="R52" s="300">
        <f t="shared" si="5"/>
        <v>0</v>
      </c>
      <c r="S52" s="295">
        <f t="shared" si="6"/>
        <v>0</v>
      </c>
      <c r="T52" s="298">
        <f>IFERROR(ROUND(IF(AND('Расчет участников НИР'!$A52='Состав ВТК'!$B45,'Расчет участников НИР'!$T$10='Состав ВТК'!$I45),$E52,0),2),"-")</f>
        <v>0</v>
      </c>
      <c r="U52" s="298">
        <f>IFERROR(ROUND(IF(AND('Расчет участников НИР'!$A52='Состав ВТК'!$B45,'Расчет участников НИР'!$U$10='Состав ВТК'!$I45),$E52,0),2),"-")</f>
        <v>0</v>
      </c>
      <c r="V52" s="298">
        <f>IFERROR(ROUND(IF(AND('Расчет участников НИР'!$A52='Состав ВТК'!$B45,'Расчет участников НИР'!$V$10='Состав ВТК'!$I45),$E52,0),2),"-")</f>
        <v>0</v>
      </c>
      <c r="W52" s="301" t="str">
        <f t="shared" si="7"/>
        <v>-</v>
      </c>
      <c r="X52" s="301" t="str">
        <f t="shared" si="8"/>
        <v>-</v>
      </c>
      <c r="Y52" s="301" t="str">
        <f t="shared" si="9"/>
        <v>-</v>
      </c>
    </row>
    <row r="53" spans="1:25" x14ac:dyDescent="0.25">
      <c r="A53" s="217">
        <f>'Состав ВТК'!B46</f>
        <v>0</v>
      </c>
      <c r="B53" s="290">
        <f>IFERROR(VLOOKUP($A53,Распределение!$B$13:$L$113,11,FALSE),"-")</f>
        <v>0</v>
      </c>
      <c r="C53" s="291" t="str">
        <f>IFERROR(IF(VLOOKUP($B53,Расценка!$H$3:$I$9,2,FALSE)="НС",Расценка!$T$11,Расценка!$T$12),"-")</f>
        <v>-</v>
      </c>
      <c r="D53" s="291">
        <f>IFERROR(INDEX(Распределение!$1:$1048576,MATCH($A53,Распределение!$B:$B,0),MATCH($D$8,Распределение!$9:$9,0)),"---")</f>
        <v>0</v>
      </c>
      <c r="E53" s="292">
        <f>IFERROR(SUMIFS('Трудозатраты членов ВТК'!$G$17:$G$117,'Трудозатраты членов ВТК'!$D$17:$D$117,A:A),"-")</f>
        <v>0</v>
      </c>
      <c r="F53" s="293">
        <f>IFERROR(SUMIFS('Трудозатраты членов ВТК'!$F$464:$F$713,'Трудозатраты членов ВТК'!$D$464:$D$713,A:A),"-")</f>
        <v>0</v>
      </c>
      <c r="G53" s="302"/>
      <c r="H53" s="295">
        <f t="shared" si="10"/>
        <v>0</v>
      </c>
      <c r="I53" s="296">
        <f>IFERROR(ROUND(IF('Состав ВТК'!$K46=справочник!$A$5,IF(AND('Расчет участников НИР'!$A53='Состав ВТК'!$B46,$I$10='Состав ВТК'!$I46),$F53*$D53*VLOOKUP('Расчет участников НИР'!$B53,Расценка!$C$3:$E$13,3,FALSE),0),0),2),"-")</f>
        <v>0</v>
      </c>
      <c r="J53" s="296">
        <f>IFERROR(ROUND(IF('Состав ВТК'!$K46=справочник!$A$5,IF(AND('Расчет участников НИР'!$A53='Состав ВТК'!$B46,$J$10='Состав ВТК'!$I46),$F53*$D53*VLOOKUP('Расчет участников НИР'!$B53,Расценка!$C$3:$E$13,3,FALSE),0),0),2),"-")</f>
        <v>0</v>
      </c>
      <c r="K53" s="296">
        <f>IFERROR(ROUND(IF('Состав ВТК'!$K46=справочник!$A$5,IF(AND('Расчет участников НИР'!$A53='Состав ВТК'!$B46,$K$10='Состав ВТК'!$I46),$F53*$D53*VLOOKUP('Расчет участников НИР'!$B53,Расценка!$C$3:$E$13,3,FALSE),0),0),2),"-")</f>
        <v>0</v>
      </c>
      <c r="L53" s="297"/>
      <c r="M53" s="295">
        <f t="shared" si="3"/>
        <v>0</v>
      </c>
      <c r="N53" s="298">
        <f>IFERROR(ROUND(IF('Состав ВТК'!$K46=справочник!$A$5,(IF(AND($A53='Состав ВТК'!$B46,$N$10=$C53),$F53*$D53*VLOOKUP($B53,Расценка!$H$3:$K$9,4,FALSE),0)),0),2),"-")</f>
        <v>0</v>
      </c>
      <c r="O53" s="298">
        <f>IFERROR(ROUND(IF('Состав ВТК'!$K46=справочник!$A$5,(IF(AND($A53='Состав ВТК'!$B46,$O$10=$C53),$F53*$D53*VLOOKUP($B53,Расценка!$H$3:$K$9,4,FALSE),0)),0),2),"-")</f>
        <v>0</v>
      </c>
      <c r="P53" s="299">
        <f t="shared" si="11"/>
        <v>0</v>
      </c>
      <c r="Q53" s="300">
        <f t="shared" si="4"/>
        <v>0</v>
      </c>
      <c r="R53" s="300">
        <f t="shared" si="5"/>
        <v>0</v>
      </c>
      <c r="S53" s="295">
        <f t="shared" si="6"/>
        <v>0</v>
      </c>
      <c r="T53" s="298">
        <f>IFERROR(ROUND(IF(AND('Расчет участников НИР'!$A53='Состав ВТК'!$B46,'Расчет участников НИР'!$T$10='Состав ВТК'!$I46),$E53,0),2),"-")</f>
        <v>0</v>
      </c>
      <c r="U53" s="298">
        <f>IFERROR(ROUND(IF(AND('Расчет участников НИР'!$A53='Состав ВТК'!$B46,'Расчет участников НИР'!$U$10='Состав ВТК'!$I46),$E53,0),2),"-")</f>
        <v>0</v>
      </c>
      <c r="V53" s="298">
        <f>IFERROR(ROUND(IF(AND('Расчет участников НИР'!$A53='Состав ВТК'!$B46,'Расчет участников НИР'!$V$10='Состав ВТК'!$I46),$E53,0),2),"-")</f>
        <v>0</v>
      </c>
      <c r="W53" s="301" t="str">
        <f t="shared" si="7"/>
        <v>-</v>
      </c>
      <c r="X53" s="301" t="str">
        <f t="shared" si="8"/>
        <v>-</v>
      </c>
      <c r="Y53" s="301" t="str">
        <f t="shared" si="9"/>
        <v>-</v>
      </c>
    </row>
    <row r="54" spans="1:25" x14ac:dyDescent="0.25">
      <c r="A54" s="217">
        <f>'Состав ВТК'!B47</f>
        <v>0</v>
      </c>
      <c r="B54" s="290">
        <f>IFERROR(VLOOKUP($A54,Распределение!$B$13:$L$113,11,FALSE),"-")</f>
        <v>0</v>
      </c>
      <c r="C54" s="291" t="str">
        <f>IFERROR(IF(VLOOKUP($B54,Расценка!$H$3:$I$9,2,FALSE)="НС",Расценка!$T$11,Расценка!$T$12),"-")</f>
        <v>-</v>
      </c>
      <c r="D54" s="291">
        <f>IFERROR(INDEX(Распределение!$1:$1048576,MATCH($A54,Распределение!$B:$B,0),MATCH($D$8,Распределение!$9:$9,0)),"---")</f>
        <v>0</v>
      </c>
      <c r="E54" s="292">
        <f>IFERROR(SUMIFS('Трудозатраты членов ВТК'!$G$17:$G$117,'Трудозатраты членов ВТК'!$D$17:$D$117,A:A),"-")</f>
        <v>0</v>
      </c>
      <c r="F54" s="293">
        <f>IFERROR(SUMIFS('Трудозатраты членов ВТК'!$F$464:$F$713,'Трудозатраты членов ВТК'!$D$464:$D$713,A:A),"-")</f>
        <v>0</v>
      </c>
      <c r="G54" s="302"/>
      <c r="H54" s="295">
        <f t="shared" si="10"/>
        <v>0</v>
      </c>
      <c r="I54" s="296">
        <f>IFERROR(ROUND(IF('Состав ВТК'!$K47=справочник!$A$5,IF(AND('Расчет участников НИР'!$A54='Состав ВТК'!$B47,$I$10='Состав ВТК'!$I47),$F54*$D54*VLOOKUP('Расчет участников НИР'!$B54,Расценка!$C$3:$E$13,3,FALSE),0),0),2),"-")</f>
        <v>0</v>
      </c>
      <c r="J54" s="296">
        <f>IFERROR(ROUND(IF('Состав ВТК'!$K47=справочник!$A$5,IF(AND('Расчет участников НИР'!$A54='Состав ВТК'!$B47,$J$10='Состав ВТК'!$I47),$F54*$D54*VLOOKUP('Расчет участников НИР'!$B54,Расценка!$C$3:$E$13,3,FALSE),0),0),2),"-")</f>
        <v>0</v>
      </c>
      <c r="K54" s="296">
        <f>IFERROR(ROUND(IF('Состав ВТК'!$K47=справочник!$A$5,IF(AND('Расчет участников НИР'!$A54='Состав ВТК'!$B47,$K$10='Состав ВТК'!$I47),$F54*$D54*VLOOKUP('Расчет участников НИР'!$B54,Расценка!$C$3:$E$13,3,FALSE),0),0),2),"-")</f>
        <v>0</v>
      </c>
      <c r="L54" s="297"/>
      <c r="M54" s="295">
        <f t="shared" si="3"/>
        <v>0</v>
      </c>
      <c r="N54" s="298">
        <f>IFERROR(ROUND(IF('Состав ВТК'!$K47=справочник!$A$5,(IF(AND($A54='Состав ВТК'!$B47,$N$10=$C54),$F54*$D54*VLOOKUP($B54,Расценка!$H$3:$K$9,4,FALSE),0)),0),2),"-")</f>
        <v>0</v>
      </c>
      <c r="O54" s="298">
        <f>IFERROR(ROUND(IF('Состав ВТК'!$K47=справочник!$A$5,(IF(AND($A54='Состав ВТК'!$B47,$O$10=$C54),$F54*$D54*VLOOKUP($B54,Расценка!$H$3:$K$9,4,FALSE),0)),0),2),"-")</f>
        <v>0</v>
      </c>
      <c r="P54" s="299">
        <f t="shared" si="11"/>
        <v>0</v>
      </c>
      <c r="Q54" s="300">
        <f t="shared" si="4"/>
        <v>0</v>
      </c>
      <c r="R54" s="300">
        <f t="shared" si="5"/>
        <v>0</v>
      </c>
      <c r="S54" s="295">
        <f t="shared" si="6"/>
        <v>0</v>
      </c>
      <c r="T54" s="298">
        <f>IFERROR(ROUND(IF(AND('Расчет участников НИР'!$A54='Состав ВТК'!$B47,'Расчет участников НИР'!$T$10='Состав ВТК'!$I47),$E54,0),2),"-")</f>
        <v>0</v>
      </c>
      <c r="U54" s="298">
        <f>IFERROR(ROUND(IF(AND('Расчет участников НИР'!$A54='Состав ВТК'!$B47,'Расчет участников НИР'!$U$10='Состав ВТК'!$I47),$E54,0),2),"-")</f>
        <v>0</v>
      </c>
      <c r="V54" s="298">
        <f>IFERROR(ROUND(IF(AND('Расчет участников НИР'!$A54='Состав ВТК'!$B47,'Расчет участников НИР'!$V$10='Состав ВТК'!$I47),$E54,0),2),"-")</f>
        <v>0</v>
      </c>
      <c r="W54" s="301" t="str">
        <f t="shared" si="7"/>
        <v>-</v>
      </c>
      <c r="X54" s="301" t="str">
        <f t="shared" si="8"/>
        <v>-</v>
      </c>
      <c r="Y54" s="301" t="str">
        <f t="shared" si="9"/>
        <v>-</v>
      </c>
    </row>
    <row r="55" spans="1:25" x14ac:dyDescent="0.25">
      <c r="A55" s="217">
        <f>'Состав ВТК'!B48</f>
        <v>0</v>
      </c>
      <c r="B55" s="290">
        <f>IFERROR(VLOOKUP($A55,Распределение!$B$13:$L$113,11,FALSE),"-")</f>
        <v>0</v>
      </c>
      <c r="C55" s="291" t="str">
        <f>IFERROR(IF(VLOOKUP($B55,Расценка!$H$3:$I$9,2,FALSE)="НС",Расценка!$T$11,Расценка!$T$12),"-")</f>
        <v>-</v>
      </c>
      <c r="D55" s="291">
        <f>IFERROR(INDEX(Распределение!$1:$1048576,MATCH($A55,Распределение!$B:$B,0),MATCH($D$8,Распределение!$9:$9,0)),"---")</f>
        <v>0</v>
      </c>
      <c r="E55" s="292">
        <f>IFERROR(SUMIFS('Трудозатраты членов ВТК'!$G$17:$G$117,'Трудозатраты членов ВТК'!$D$17:$D$117,A:A),"-")</f>
        <v>0</v>
      </c>
      <c r="F55" s="293">
        <f>IFERROR(SUMIFS('Трудозатраты членов ВТК'!$F$464:$F$713,'Трудозатраты членов ВТК'!$D$464:$D$713,A:A),"-")</f>
        <v>0</v>
      </c>
      <c r="G55" s="302"/>
      <c r="H55" s="295">
        <f t="shared" si="10"/>
        <v>0</v>
      </c>
      <c r="I55" s="296">
        <f>IFERROR(ROUND(IF('Состав ВТК'!$K48=справочник!$A$5,IF(AND('Расчет участников НИР'!$A55='Состав ВТК'!$B48,$I$10='Состав ВТК'!$I48),$F55*$D55*VLOOKUP('Расчет участников НИР'!$B55,Расценка!$C$3:$E$13,3,FALSE),0),0),2),"-")</f>
        <v>0</v>
      </c>
      <c r="J55" s="296">
        <f>IFERROR(ROUND(IF('Состав ВТК'!$K48=справочник!$A$5,IF(AND('Расчет участников НИР'!$A55='Состав ВТК'!$B48,$J$10='Состав ВТК'!$I48),$F55*$D55*VLOOKUP('Расчет участников НИР'!$B55,Расценка!$C$3:$E$13,3,FALSE),0),0),2),"-")</f>
        <v>0</v>
      </c>
      <c r="K55" s="296">
        <f>IFERROR(ROUND(IF('Состав ВТК'!$K48=справочник!$A$5,IF(AND('Расчет участников НИР'!$A55='Состав ВТК'!$B48,$K$10='Состав ВТК'!$I48),$F55*$D55*VLOOKUP('Расчет участников НИР'!$B55,Расценка!$C$3:$E$13,3,FALSE),0),0),2),"-")</f>
        <v>0</v>
      </c>
      <c r="L55" s="297"/>
      <c r="M55" s="295">
        <f t="shared" si="3"/>
        <v>0</v>
      </c>
      <c r="N55" s="298">
        <f>IFERROR(ROUND(IF('Состав ВТК'!$K48=справочник!$A$5,(IF(AND($A55='Состав ВТК'!$B48,$N$10=$C55),$F55*$D55*VLOOKUP($B55,Расценка!$H$3:$K$9,4,FALSE),0)),0),2),"-")</f>
        <v>0</v>
      </c>
      <c r="O55" s="298">
        <f>IFERROR(ROUND(IF('Состав ВТК'!$K48=справочник!$A$5,(IF(AND($A55='Состав ВТК'!$B48,$O$10=$C55),$F55*$D55*VLOOKUP($B55,Расценка!$H$3:$K$9,4,FALSE),0)),0),2),"-")</f>
        <v>0</v>
      </c>
      <c r="P55" s="299">
        <f t="shared" si="11"/>
        <v>0</v>
      </c>
      <c r="Q55" s="300">
        <f t="shared" si="4"/>
        <v>0</v>
      </c>
      <c r="R55" s="300">
        <f t="shared" si="5"/>
        <v>0</v>
      </c>
      <c r="S55" s="295">
        <f t="shared" si="6"/>
        <v>0</v>
      </c>
      <c r="T55" s="298">
        <f>IFERROR(ROUND(IF(AND('Расчет участников НИР'!$A55='Состав ВТК'!$B48,'Расчет участников НИР'!$T$10='Состав ВТК'!$I48),$E55,0),2),"-")</f>
        <v>0</v>
      </c>
      <c r="U55" s="298">
        <f>IFERROR(ROUND(IF(AND('Расчет участников НИР'!$A55='Состав ВТК'!$B48,'Расчет участников НИР'!$U$10='Состав ВТК'!$I48),$E55,0),2),"-")</f>
        <v>0</v>
      </c>
      <c r="V55" s="298">
        <f>IFERROR(ROUND(IF(AND('Расчет участников НИР'!$A55='Состав ВТК'!$B48,'Расчет участников НИР'!$V$10='Состав ВТК'!$I48),$E55,0),2),"-")</f>
        <v>0</v>
      </c>
      <c r="W55" s="301" t="str">
        <f t="shared" si="7"/>
        <v>-</v>
      </c>
      <c r="X55" s="301" t="str">
        <f t="shared" si="8"/>
        <v>-</v>
      </c>
      <c r="Y55" s="301" t="str">
        <f t="shared" si="9"/>
        <v>-</v>
      </c>
    </row>
    <row r="56" spans="1:25" x14ac:dyDescent="0.25">
      <c r="A56" s="217">
        <f>'Состав ВТК'!B49</f>
        <v>0</v>
      </c>
      <c r="B56" s="290">
        <f>IFERROR(VLOOKUP($A56,Распределение!$B$13:$L$113,11,FALSE),"-")</f>
        <v>0</v>
      </c>
      <c r="C56" s="291" t="str">
        <f>IFERROR(IF(VLOOKUP($B56,Расценка!$H$3:$I$9,2,FALSE)="НС",Расценка!$T$11,Расценка!$T$12),"-")</f>
        <v>-</v>
      </c>
      <c r="D56" s="291">
        <f>IFERROR(INDEX(Распределение!$1:$1048576,MATCH($A56,Распределение!$B:$B,0),MATCH($D$8,Распределение!$9:$9,0)),"---")</f>
        <v>0</v>
      </c>
      <c r="E56" s="292">
        <f>IFERROR(SUMIFS('Трудозатраты членов ВТК'!$G$17:$G$117,'Трудозатраты членов ВТК'!$D$17:$D$117,A:A),"-")</f>
        <v>0</v>
      </c>
      <c r="F56" s="293">
        <f>IFERROR(SUMIFS('Трудозатраты членов ВТК'!$F$464:$F$713,'Трудозатраты членов ВТК'!$D$464:$D$713,A:A),"-")</f>
        <v>0</v>
      </c>
      <c r="G56" s="302"/>
      <c r="H56" s="295">
        <f t="shared" si="10"/>
        <v>0</v>
      </c>
      <c r="I56" s="296">
        <f>IFERROR(ROUND(IF('Состав ВТК'!$K49=справочник!$A$5,IF(AND('Расчет участников НИР'!$A56='Состав ВТК'!$B49,$I$10='Состав ВТК'!$I49),$F56*$D56*VLOOKUP('Расчет участников НИР'!$B56,Расценка!$C$3:$E$13,3,FALSE),0),0),2),"-")</f>
        <v>0</v>
      </c>
      <c r="J56" s="296">
        <f>IFERROR(ROUND(IF('Состав ВТК'!$K49=справочник!$A$5,IF(AND('Расчет участников НИР'!$A56='Состав ВТК'!$B49,$J$10='Состав ВТК'!$I49),$F56*$D56*VLOOKUP('Расчет участников НИР'!$B56,Расценка!$C$3:$E$13,3,FALSE),0),0),2),"-")</f>
        <v>0</v>
      </c>
      <c r="K56" s="296">
        <f>IFERROR(ROUND(IF('Состав ВТК'!$K49=справочник!$A$5,IF(AND('Расчет участников НИР'!$A56='Состав ВТК'!$B49,$K$10='Состав ВТК'!$I49),$F56*$D56*VLOOKUP('Расчет участников НИР'!$B56,Расценка!$C$3:$E$13,3,FALSE),0),0),2),"-")</f>
        <v>0</v>
      </c>
      <c r="L56" s="297"/>
      <c r="M56" s="295">
        <f t="shared" si="3"/>
        <v>0</v>
      </c>
      <c r="N56" s="298">
        <f>IFERROR(ROUND(IF('Состав ВТК'!$K49=справочник!$A$5,(IF(AND($A56='Состав ВТК'!$B49,$N$10=$C56),$F56*$D56*VLOOKUP($B56,Расценка!$H$3:$K$9,4,FALSE),0)),0),2),"-")</f>
        <v>0</v>
      </c>
      <c r="O56" s="298">
        <f>IFERROR(ROUND(IF('Состав ВТК'!$K49=справочник!$A$5,(IF(AND($A56='Состав ВТК'!$B49,$O$10=$C56),$F56*$D56*VLOOKUP($B56,Расценка!$H$3:$K$9,4,FALSE),0)),0),2),"-")</f>
        <v>0</v>
      </c>
      <c r="P56" s="299">
        <f t="shared" si="11"/>
        <v>0</v>
      </c>
      <c r="Q56" s="300">
        <f t="shared" si="4"/>
        <v>0</v>
      </c>
      <c r="R56" s="300">
        <f t="shared" si="5"/>
        <v>0</v>
      </c>
      <c r="S56" s="295">
        <f t="shared" si="6"/>
        <v>0</v>
      </c>
      <c r="T56" s="298">
        <f>IFERROR(ROUND(IF(AND('Расчет участников НИР'!$A56='Состав ВТК'!$B49,'Расчет участников НИР'!$T$10='Состав ВТК'!$I49),$E56,0),2),"-")</f>
        <v>0</v>
      </c>
      <c r="U56" s="298">
        <f>IFERROR(ROUND(IF(AND('Расчет участников НИР'!$A56='Состав ВТК'!$B49,'Расчет участников НИР'!$U$10='Состав ВТК'!$I49),$E56,0),2),"-")</f>
        <v>0</v>
      </c>
      <c r="V56" s="298">
        <f>IFERROR(ROUND(IF(AND('Расчет участников НИР'!$A56='Состав ВТК'!$B49,'Расчет участников НИР'!$V$10='Состав ВТК'!$I49),$E56,0),2),"-")</f>
        <v>0</v>
      </c>
      <c r="W56" s="301" t="str">
        <f t="shared" si="7"/>
        <v>-</v>
      </c>
      <c r="X56" s="301" t="str">
        <f t="shared" si="8"/>
        <v>-</v>
      </c>
      <c r="Y56" s="301" t="str">
        <f t="shared" si="9"/>
        <v>-</v>
      </c>
    </row>
    <row r="57" spans="1:25" x14ac:dyDescent="0.25">
      <c r="A57" s="217">
        <f>'Состав ВТК'!B50</f>
        <v>0</v>
      </c>
      <c r="B57" s="290">
        <f>IFERROR(VLOOKUP($A57,Распределение!$B$13:$L$113,11,FALSE),"-")</f>
        <v>0</v>
      </c>
      <c r="C57" s="291" t="str">
        <f>IFERROR(IF(VLOOKUP($B57,Расценка!$H$3:$I$9,2,FALSE)="НС",Расценка!$T$11,Расценка!$T$12),"-")</f>
        <v>-</v>
      </c>
      <c r="D57" s="291">
        <f>IFERROR(INDEX(Распределение!$1:$1048576,MATCH($A57,Распределение!$B:$B,0),MATCH($D$8,Распределение!$9:$9,0)),"---")</f>
        <v>0</v>
      </c>
      <c r="E57" s="292">
        <f>IFERROR(SUMIFS('Трудозатраты членов ВТК'!$G$17:$G$117,'Трудозатраты членов ВТК'!$D$17:$D$117,A:A),"-")</f>
        <v>0</v>
      </c>
      <c r="F57" s="293">
        <f>IFERROR(SUMIFS('Трудозатраты членов ВТК'!$F$464:$F$713,'Трудозатраты членов ВТК'!$D$464:$D$713,A:A),"-")</f>
        <v>0</v>
      </c>
      <c r="G57" s="302"/>
      <c r="H57" s="295">
        <f t="shared" si="10"/>
        <v>0</v>
      </c>
      <c r="I57" s="296">
        <f>IFERROR(ROUND(IF('Состав ВТК'!$K50=справочник!$A$5,IF(AND('Расчет участников НИР'!$A57='Состав ВТК'!$B50,$I$10='Состав ВТК'!$I50),$F57*$D57*VLOOKUP('Расчет участников НИР'!$B57,Расценка!$C$3:$E$13,3,FALSE),0),0),2),"-")</f>
        <v>0</v>
      </c>
      <c r="J57" s="296">
        <f>IFERROR(ROUND(IF('Состав ВТК'!$K50=справочник!$A$5,IF(AND('Расчет участников НИР'!$A57='Состав ВТК'!$B50,$J$10='Состав ВТК'!$I50),$F57*$D57*VLOOKUP('Расчет участников НИР'!$B57,Расценка!$C$3:$E$13,3,FALSE),0),0),2),"-")</f>
        <v>0</v>
      </c>
      <c r="K57" s="296">
        <f>IFERROR(ROUND(IF('Состав ВТК'!$K50=справочник!$A$5,IF(AND('Расчет участников НИР'!$A57='Состав ВТК'!$B50,$K$10='Состав ВТК'!$I50),$F57*$D57*VLOOKUP('Расчет участников НИР'!$B57,Расценка!$C$3:$E$13,3,FALSE),0),0),2),"-")</f>
        <v>0</v>
      </c>
      <c r="L57" s="297"/>
      <c r="M57" s="295">
        <f t="shared" si="3"/>
        <v>0</v>
      </c>
      <c r="N57" s="298">
        <f>IFERROR(ROUND(IF('Состав ВТК'!$K50=справочник!$A$5,(IF(AND($A57='Состав ВТК'!$B50,$N$10=$C57),$F57*$D57*VLOOKUP($B57,Расценка!$H$3:$K$9,4,FALSE),0)),0),2),"-")</f>
        <v>0</v>
      </c>
      <c r="O57" s="298">
        <f>IFERROR(ROUND(IF('Состав ВТК'!$K50=справочник!$A$5,(IF(AND($A57='Состав ВТК'!$B50,$O$10=$C57),$F57*$D57*VLOOKUP($B57,Расценка!$H$3:$K$9,4,FALSE),0)),0),2),"-")</f>
        <v>0</v>
      </c>
      <c r="P57" s="299">
        <f t="shared" si="11"/>
        <v>0</v>
      </c>
      <c r="Q57" s="300">
        <f t="shared" si="4"/>
        <v>0</v>
      </c>
      <c r="R57" s="300">
        <f t="shared" si="5"/>
        <v>0</v>
      </c>
      <c r="S57" s="295">
        <f t="shared" si="6"/>
        <v>0</v>
      </c>
      <c r="T57" s="298">
        <f>IFERROR(ROUND(IF(AND('Расчет участников НИР'!$A57='Состав ВТК'!$B50,'Расчет участников НИР'!$T$10='Состав ВТК'!$I50),$E57,0),2),"-")</f>
        <v>0</v>
      </c>
      <c r="U57" s="298">
        <f>IFERROR(ROUND(IF(AND('Расчет участников НИР'!$A57='Состав ВТК'!$B50,'Расчет участников НИР'!$U$10='Состав ВТК'!$I50),$E57,0),2),"-")</f>
        <v>0</v>
      </c>
      <c r="V57" s="298">
        <f>IFERROR(ROUND(IF(AND('Расчет участников НИР'!$A57='Состав ВТК'!$B50,'Расчет участников НИР'!$V$10='Состав ВТК'!$I50),$E57,0),2),"-")</f>
        <v>0</v>
      </c>
      <c r="W57" s="301" t="str">
        <f t="shared" si="7"/>
        <v>-</v>
      </c>
      <c r="X57" s="301" t="str">
        <f t="shared" si="8"/>
        <v>-</v>
      </c>
      <c r="Y57" s="301" t="str">
        <f t="shared" si="9"/>
        <v>-</v>
      </c>
    </row>
    <row r="58" spans="1:25" x14ac:dyDescent="0.25">
      <c r="A58" s="217">
        <f>'Состав ВТК'!B51</f>
        <v>0</v>
      </c>
      <c r="B58" s="290">
        <f>IFERROR(VLOOKUP($A58,Распределение!$B$13:$L$113,11,FALSE),"-")</f>
        <v>0</v>
      </c>
      <c r="C58" s="291" t="str">
        <f>IFERROR(IF(VLOOKUP($B58,Расценка!$H$3:$I$9,2,FALSE)="НС",Расценка!$T$11,Расценка!$T$12),"-")</f>
        <v>-</v>
      </c>
      <c r="D58" s="291">
        <f>IFERROR(INDEX(Распределение!$1:$1048576,MATCH($A58,Распределение!$B:$B,0),MATCH($D$8,Распределение!$9:$9,0)),"---")</f>
        <v>0</v>
      </c>
      <c r="E58" s="292">
        <f>IFERROR(SUMIFS('Трудозатраты членов ВТК'!$G$17:$G$117,'Трудозатраты членов ВТК'!$D$17:$D$117,A:A),"-")</f>
        <v>0</v>
      </c>
      <c r="F58" s="293">
        <f>IFERROR(SUMIFS('Трудозатраты членов ВТК'!$F$464:$F$713,'Трудозатраты членов ВТК'!$D$464:$D$713,A:A),"-")</f>
        <v>0</v>
      </c>
      <c r="G58" s="302"/>
      <c r="H58" s="295">
        <f t="shared" si="10"/>
        <v>0</v>
      </c>
      <c r="I58" s="296">
        <f>IFERROR(ROUND(IF('Состав ВТК'!$K51=справочник!$A$5,IF(AND('Расчет участников НИР'!$A58='Состав ВТК'!$B51,$I$10='Состав ВТК'!$I51),$F58*$D58*VLOOKUP('Расчет участников НИР'!$B58,Расценка!$C$3:$E$13,3,FALSE),0),0),2),"-")</f>
        <v>0</v>
      </c>
      <c r="J58" s="296">
        <f>IFERROR(ROUND(IF('Состав ВТК'!$K51=справочник!$A$5,IF(AND('Расчет участников НИР'!$A58='Состав ВТК'!$B51,$J$10='Состав ВТК'!$I51),$F58*$D58*VLOOKUP('Расчет участников НИР'!$B58,Расценка!$C$3:$E$13,3,FALSE),0),0),2),"-")</f>
        <v>0</v>
      </c>
      <c r="K58" s="296">
        <f>IFERROR(ROUND(IF('Состав ВТК'!$K51=справочник!$A$5,IF(AND('Расчет участников НИР'!$A58='Состав ВТК'!$B51,$K$10='Состав ВТК'!$I51),$F58*$D58*VLOOKUP('Расчет участников НИР'!$B58,Расценка!$C$3:$E$13,3,FALSE),0),0),2),"-")</f>
        <v>0</v>
      </c>
      <c r="L58" s="297"/>
      <c r="M58" s="295">
        <f t="shared" si="3"/>
        <v>0</v>
      </c>
      <c r="N58" s="298">
        <f>IFERROR(ROUND(IF('Состав ВТК'!$K51=справочник!$A$5,(IF(AND($A58='Состав ВТК'!$B51,$N$10=$C58),$F58*$D58*VLOOKUP($B58,Расценка!$H$3:$K$9,4,FALSE),0)),0),2),"-")</f>
        <v>0</v>
      </c>
      <c r="O58" s="298">
        <f>IFERROR(ROUND(IF('Состав ВТК'!$K51=справочник!$A$5,(IF(AND($A58='Состав ВТК'!$B51,$O$10=$C58),$F58*$D58*VLOOKUP($B58,Расценка!$H$3:$K$9,4,FALSE),0)),0),2),"-")</f>
        <v>0</v>
      </c>
      <c r="P58" s="299">
        <f t="shared" si="11"/>
        <v>0</v>
      </c>
      <c r="Q58" s="300">
        <f t="shared" si="4"/>
        <v>0</v>
      </c>
      <c r="R58" s="300">
        <f t="shared" si="5"/>
        <v>0</v>
      </c>
      <c r="S58" s="295">
        <f t="shared" si="6"/>
        <v>0</v>
      </c>
      <c r="T58" s="298">
        <f>IFERROR(ROUND(IF(AND('Расчет участников НИР'!$A58='Состав ВТК'!$B51,'Расчет участников НИР'!$T$10='Состав ВТК'!$I51),$E58,0),2),"-")</f>
        <v>0</v>
      </c>
      <c r="U58" s="298">
        <f>IFERROR(ROUND(IF(AND('Расчет участников НИР'!$A58='Состав ВТК'!$B51,'Расчет участников НИР'!$U$10='Состав ВТК'!$I51),$E58,0),2),"-")</f>
        <v>0</v>
      </c>
      <c r="V58" s="298">
        <f>IFERROR(ROUND(IF(AND('Расчет участников НИР'!$A58='Состав ВТК'!$B51,'Расчет участников НИР'!$V$10='Состав ВТК'!$I51),$E58,0),2),"-")</f>
        <v>0</v>
      </c>
      <c r="W58" s="301" t="str">
        <f t="shared" si="7"/>
        <v>-</v>
      </c>
      <c r="X58" s="301" t="str">
        <f t="shared" si="8"/>
        <v>-</v>
      </c>
      <c r="Y58" s="301" t="str">
        <f t="shared" si="9"/>
        <v>-</v>
      </c>
    </row>
    <row r="59" spans="1:25" x14ac:dyDescent="0.25">
      <c r="A59" s="217">
        <f>'Состав ВТК'!B52</f>
        <v>0</v>
      </c>
      <c r="B59" s="290">
        <f>IFERROR(VLOOKUP($A59,Распределение!$B$13:$L$113,11,FALSE),"-")</f>
        <v>0</v>
      </c>
      <c r="C59" s="291" t="str">
        <f>IFERROR(IF(VLOOKUP($B59,Расценка!$H$3:$I$9,2,FALSE)="НС",Расценка!$T$11,Расценка!$T$12),"-")</f>
        <v>-</v>
      </c>
      <c r="D59" s="291">
        <f>IFERROR(INDEX(Распределение!$1:$1048576,MATCH($A59,Распределение!$B:$B,0),MATCH($D$8,Распределение!$9:$9,0)),"---")</f>
        <v>0</v>
      </c>
      <c r="E59" s="292">
        <f>IFERROR(SUMIFS('Трудозатраты членов ВТК'!$G$17:$G$117,'Трудозатраты членов ВТК'!$D$17:$D$117,A:A),"-")</f>
        <v>0</v>
      </c>
      <c r="F59" s="293">
        <f>IFERROR(SUMIFS('Трудозатраты членов ВТК'!$F$464:$F$713,'Трудозатраты членов ВТК'!$D$464:$D$713,A:A),"-")</f>
        <v>0</v>
      </c>
      <c r="G59" s="302"/>
      <c r="H59" s="295">
        <f t="shared" si="10"/>
        <v>0</v>
      </c>
      <c r="I59" s="296">
        <f>IFERROR(ROUND(IF('Состав ВТК'!$K52=справочник!$A$5,IF(AND('Расчет участников НИР'!$A59='Состав ВТК'!$B52,$I$10='Состав ВТК'!$I52),$F59*$D59*VLOOKUP('Расчет участников НИР'!$B59,Расценка!$C$3:$E$13,3,FALSE),0),0),2),"-")</f>
        <v>0</v>
      </c>
      <c r="J59" s="296">
        <f>IFERROR(ROUND(IF('Состав ВТК'!$K52=справочник!$A$5,IF(AND('Расчет участников НИР'!$A59='Состав ВТК'!$B52,$J$10='Состав ВТК'!$I52),$F59*$D59*VLOOKUP('Расчет участников НИР'!$B59,Расценка!$C$3:$E$13,3,FALSE),0),0),2),"-")</f>
        <v>0</v>
      </c>
      <c r="K59" s="296">
        <f>IFERROR(ROUND(IF('Состав ВТК'!$K52=справочник!$A$5,IF(AND('Расчет участников НИР'!$A59='Состав ВТК'!$B52,$K$10='Состав ВТК'!$I52),$F59*$D59*VLOOKUP('Расчет участников НИР'!$B59,Расценка!$C$3:$E$13,3,FALSE),0),0),2),"-")</f>
        <v>0</v>
      </c>
      <c r="L59" s="297"/>
      <c r="M59" s="295">
        <f t="shared" si="3"/>
        <v>0</v>
      </c>
      <c r="N59" s="298">
        <f>IFERROR(ROUND(IF('Состав ВТК'!$K52=справочник!$A$5,(IF(AND($A59='Состав ВТК'!$B52,$N$10=$C59),$F59*$D59*VLOOKUP($B59,Расценка!$H$3:$K$9,4,FALSE),0)),0),2),"-")</f>
        <v>0</v>
      </c>
      <c r="O59" s="298">
        <f>IFERROR(ROUND(IF('Состав ВТК'!$K52=справочник!$A$5,(IF(AND($A59='Состав ВТК'!$B52,$O$10=$C59),$F59*$D59*VLOOKUP($B59,Расценка!$H$3:$K$9,4,FALSE),0)),0),2),"-")</f>
        <v>0</v>
      </c>
      <c r="P59" s="299">
        <f t="shared" si="11"/>
        <v>0</v>
      </c>
      <c r="Q59" s="300">
        <f t="shared" si="4"/>
        <v>0</v>
      </c>
      <c r="R59" s="300">
        <f t="shared" si="5"/>
        <v>0</v>
      </c>
      <c r="S59" s="295">
        <f t="shared" si="6"/>
        <v>0</v>
      </c>
      <c r="T59" s="298">
        <f>IFERROR(ROUND(IF(AND('Расчет участников НИР'!$A59='Состав ВТК'!$B52,'Расчет участников НИР'!$T$10='Состав ВТК'!$I52),$E59,0),2),"-")</f>
        <v>0</v>
      </c>
      <c r="U59" s="298">
        <f>IFERROR(ROUND(IF(AND('Расчет участников НИР'!$A59='Состав ВТК'!$B52,'Расчет участников НИР'!$U$10='Состав ВТК'!$I52),$E59,0),2),"-")</f>
        <v>0</v>
      </c>
      <c r="V59" s="298">
        <f>IFERROR(ROUND(IF(AND('Расчет участников НИР'!$A59='Состав ВТК'!$B52,'Расчет участников НИР'!$V$10='Состав ВТК'!$I52),$E59,0),2),"-")</f>
        <v>0</v>
      </c>
      <c r="W59" s="301" t="str">
        <f t="shared" si="7"/>
        <v>-</v>
      </c>
      <c r="X59" s="301" t="str">
        <f t="shared" si="8"/>
        <v>-</v>
      </c>
      <c r="Y59" s="301" t="str">
        <f t="shared" si="9"/>
        <v>-</v>
      </c>
    </row>
    <row r="60" spans="1:25" x14ac:dyDescent="0.25">
      <c r="A60" s="217">
        <f>'Состав ВТК'!B53</f>
        <v>0</v>
      </c>
      <c r="B60" s="290">
        <f>IFERROR(VLOOKUP($A60,Распределение!$B$13:$L$113,11,FALSE),"-")</f>
        <v>0</v>
      </c>
      <c r="C60" s="291" t="str">
        <f>IFERROR(IF(VLOOKUP($B60,Расценка!$H$3:$I$9,2,FALSE)="НС",Расценка!$T$11,Расценка!$T$12),"-")</f>
        <v>-</v>
      </c>
      <c r="D60" s="291">
        <f>IFERROR(INDEX(Распределение!$1:$1048576,MATCH($A60,Распределение!$B:$B,0),MATCH($D$8,Распределение!$9:$9,0)),"---")</f>
        <v>0</v>
      </c>
      <c r="E60" s="292">
        <f>IFERROR(SUMIFS('Трудозатраты членов ВТК'!$G$17:$G$117,'Трудозатраты членов ВТК'!$D$17:$D$117,A:A),"-")</f>
        <v>0</v>
      </c>
      <c r="F60" s="293">
        <f>IFERROR(SUMIFS('Трудозатраты членов ВТК'!$F$464:$F$713,'Трудозатраты членов ВТК'!$D$464:$D$713,A:A),"-")</f>
        <v>0</v>
      </c>
      <c r="G60" s="302"/>
      <c r="H60" s="295">
        <f t="shared" si="10"/>
        <v>0</v>
      </c>
      <c r="I60" s="296">
        <f>IFERROR(ROUND(IF('Состав ВТК'!$K53=справочник!$A$5,IF(AND('Расчет участников НИР'!$A60='Состав ВТК'!$B53,$I$10='Состав ВТК'!$I53),$F60*$D60*VLOOKUP('Расчет участников НИР'!$B60,Расценка!$C$3:$E$13,3,FALSE),0),0),2),"-")</f>
        <v>0</v>
      </c>
      <c r="J60" s="296">
        <f>IFERROR(ROUND(IF('Состав ВТК'!$K53=справочник!$A$5,IF(AND('Расчет участников НИР'!$A60='Состав ВТК'!$B53,$J$10='Состав ВТК'!$I53),$F60*$D60*VLOOKUP('Расчет участников НИР'!$B60,Расценка!$C$3:$E$13,3,FALSE),0),0),2),"-")</f>
        <v>0</v>
      </c>
      <c r="K60" s="296">
        <f>IFERROR(ROUND(IF('Состав ВТК'!$K53=справочник!$A$5,IF(AND('Расчет участников НИР'!$A60='Состав ВТК'!$B53,$K$10='Состав ВТК'!$I53),$F60*$D60*VLOOKUP('Расчет участников НИР'!$B60,Расценка!$C$3:$E$13,3,FALSE),0),0),2),"-")</f>
        <v>0</v>
      </c>
      <c r="L60" s="297"/>
      <c r="M60" s="295">
        <f t="shared" si="3"/>
        <v>0</v>
      </c>
      <c r="N60" s="298">
        <f>IFERROR(ROUND(IF('Состав ВТК'!$K53=справочник!$A$5,(IF(AND($A60='Состав ВТК'!$B53,$N$10=$C60),$F60*$D60*VLOOKUP($B60,Расценка!$H$3:$K$9,4,FALSE),0)),0),2),"-")</f>
        <v>0</v>
      </c>
      <c r="O60" s="298">
        <f>IFERROR(ROUND(IF('Состав ВТК'!$K53=справочник!$A$5,(IF(AND($A60='Состав ВТК'!$B53,$O$10=$C60),$F60*$D60*VLOOKUP($B60,Расценка!$H$3:$K$9,4,FALSE),0)),0),2),"-")</f>
        <v>0</v>
      </c>
      <c r="P60" s="299">
        <f t="shared" si="11"/>
        <v>0</v>
      </c>
      <c r="Q60" s="300">
        <f t="shared" si="4"/>
        <v>0</v>
      </c>
      <c r="R60" s="300">
        <f t="shared" si="5"/>
        <v>0</v>
      </c>
      <c r="S60" s="295">
        <f t="shared" si="6"/>
        <v>0</v>
      </c>
      <c r="T60" s="298">
        <f>IFERROR(ROUND(IF(AND('Расчет участников НИР'!$A60='Состав ВТК'!$B53,'Расчет участников НИР'!$T$10='Состав ВТК'!$I53),$E60,0),2),"-")</f>
        <v>0</v>
      </c>
      <c r="U60" s="298">
        <f>IFERROR(ROUND(IF(AND('Расчет участников НИР'!$A60='Состав ВТК'!$B53,'Расчет участников НИР'!$U$10='Состав ВТК'!$I53),$E60,0),2),"-")</f>
        <v>0</v>
      </c>
      <c r="V60" s="298">
        <f>IFERROR(ROUND(IF(AND('Расчет участников НИР'!$A60='Состав ВТК'!$B53,'Расчет участников НИР'!$V$10='Состав ВТК'!$I53),$E60,0),2),"-")</f>
        <v>0</v>
      </c>
      <c r="W60" s="301" t="str">
        <f t="shared" si="7"/>
        <v>-</v>
      </c>
      <c r="X60" s="301" t="str">
        <f t="shared" si="8"/>
        <v>-</v>
      </c>
      <c r="Y60" s="301" t="str">
        <f t="shared" si="9"/>
        <v>-</v>
      </c>
    </row>
    <row r="61" spans="1:25" x14ac:dyDescent="0.25">
      <c r="A61" s="217">
        <f>'Состав ВТК'!B54</f>
        <v>0</v>
      </c>
      <c r="B61" s="290">
        <f>IFERROR(VLOOKUP($A61,Распределение!$B$13:$L$113,11,FALSE),"-")</f>
        <v>0</v>
      </c>
      <c r="C61" s="291" t="str">
        <f>IFERROR(IF(VLOOKUP($B61,Расценка!$H$3:$I$9,2,FALSE)="НС",Расценка!$T$11,Расценка!$T$12),"-")</f>
        <v>-</v>
      </c>
      <c r="D61" s="291">
        <f>IFERROR(INDEX(Распределение!$1:$1048576,MATCH($A61,Распределение!$B:$B,0),MATCH($D$8,Распределение!$9:$9,0)),"---")</f>
        <v>0</v>
      </c>
      <c r="E61" s="292">
        <f>IFERROR(SUMIFS('Трудозатраты членов ВТК'!$G$17:$G$117,'Трудозатраты членов ВТК'!$D$17:$D$117,A:A),"-")</f>
        <v>0</v>
      </c>
      <c r="F61" s="293">
        <f>IFERROR(SUMIFS('Трудозатраты членов ВТК'!$F$464:$F$713,'Трудозатраты членов ВТК'!$D$464:$D$713,A:A),"-")</f>
        <v>0</v>
      </c>
      <c r="G61" s="302"/>
      <c r="H61" s="295">
        <f t="shared" si="10"/>
        <v>0</v>
      </c>
      <c r="I61" s="296">
        <f>IFERROR(ROUND(IF('Состав ВТК'!$K54=справочник!$A$5,IF(AND('Расчет участников НИР'!$A61='Состав ВТК'!$B54,$I$10='Состав ВТК'!$I54),$F61*$D61*VLOOKUP('Расчет участников НИР'!$B61,Расценка!$C$3:$E$13,3,FALSE),0),0),2),"-")</f>
        <v>0</v>
      </c>
      <c r="J61" s="296">
        <f>IFERROR(ROUND(IF('Состав ВТК'!$K54=справочник!$A$5,IF(AND('Расчет участников НИР'!$A61='Состав ВТК'!$B54,$J$10='Состав ВТК'!$I54),$F61*$D61*VLOOKUP('Расчет участников НИР'!$B61,Расценка!$C$3:$E$13,3,FALSE),0),0),2),"-")</f>
        <v>0</v>
      </c>
      <c r="K61" s="296">
        <f>IFERROR(ROUND(IF('Состав ВТК'!$K54=справочник!$A$5,IF(AND('Расчет участников НИР'!$A61='Состав ВТК'!$B54,$K$10='Состав ВТК'!$I54),$F61*$D61*VLOOKUP('Расчет участников НИР'!$B61,Расценка!$C$3:$E$13,3,FALSE),0),0),2),"-")</f>
        <v>0</v>
      </c>
      <c r="L61" s="297"/>
      <c r="M61" s="295">
        <f t="shared" si="3"/>
        <v>0</v>
      </c>
      <c r="N61" s="298">
        <f>IFERROR(ROUND(IF('Состав ВТК'!$K54=справочник!$A$5,(IF(AND($A61='Состав ВТК'!$B54,$N$10=$C61),$F61*$D61*VLOOKUP($B61,Расценка!$H$3:$K$9,4,FALSE),0)),0),2),"-")</f>
        <v>0</v>
      </c>
      <c r="O61" s="298">
        <f>IFERROR(ROUND(IF('Состав ВТК'!$K54=справочник!$A$5,(IF(AND($A61='Состав ВТК'!$B54,$O$10=$C61),$F61*$D61*VLOOKUP($B61,Расценка!$H$3:$K$9,4,FALSE),0)),0),2),"-")</f>
        <v>0</v>
      </c>
      <c r="P61" s="299">
        <f t="shared" si="11"/>
        <v>0</v>
      </c>
      <c r="Q61" s="300">
        <f t="shared" si="4"/>
        <v>0</v>
      </c>
      <c r="R61" s="300">
        <f t="shared" si="5"/>
        <v>0</v>
      </c>
      <c r="S61" s="295">
        <f t="shared" si="6"/>
        <v>0</v>
      </c>
      <c r="T61" s="298">
        <f>IFERROR(ROUND(IF(AND('Расчет участников НИР'!$A61='Состав ВТК'!$B54,'Расчет участников НИР'!$T$10='Состав ВТК'!$I54),$E61,0),2),"-")</f>
        <v>0</v>
      </c>
      <c r="U61" s="298">
        <f>IFERROR(ROUND(IF(AND('Расчет участников НИР'!$A61='Состав ВТК'!$B54,'Расчет участников НИР'!$U$10='Состав ВТК'!$I54),$E61,0),2),"-")</f>
        <v>0</v>
      </c>
      <c r="V61" s="298">
        <f>IFERROR(ROUND(IF(AND('Расчет участников НИР'!$A61='Состав ВТК'!$B54,'Расчет участников НИР'!$V$10='Состав ВТК'!$I54),$E61,0),2),"-")</f>
        <v>0</v>
      </c>
      <c r="W61" s="301" t="str">
        <f t="shared" si="7"/>
        <v>-</v>
      </c>
      <c r="X61" s="301" t="str">
        <f t="shared" si="8"/>
        <v>-</v>
      </c>
      <c r="Y61" s="301" t="str">
        <f t="shared" si="9"/>
        <v>-</v>
      </c>
    </row>
    <row r="62" spans="1:25" x14ac:dyDescent="0.25">
      <c r="A62" s="217">
        <f>'Состав ВТК'!B55</f>
        <v>0</v>
      </c>
      <c r="B62" s="290">
        <f>IFERROR(VLOOKUP($A62,Распределение!$B$13:$L$113,11,FALSE),"-")</f>
        <v>0</v>
      </c>
      <c r="C62" s="291" t="str">
        <f>IFERROR(IF(VLOOKUP($B62,Расценка!$H$3:$I$9,2,FALSE)="НС",Расценка!$T$11,Расценка!$T$12),"-")</f>
        <v>-</v>
      </c>
      <c r="D62" s="291">
        <f>IFERROR(INDEX(Распределение!$1:$1048576,MATCH($A62,Распределение!$B:$B,0),MATCH($D$8,Распределение!$9:$9,0)),"---")</f>
        <v>0</v>
      </c>
      <c r="E62" s="292">
        <f>IFERROR(SUMIFS('Трудозатраты членов ВТК'!$G$17:$G$117,'Трудозатраты членов ВТК'!$D$17:$D$117,A:A),"-")</f>
        <v>0</v>
      </c>
      <c r="F62" s="293">
        <f>IFERROR(SUMIFS('Трудозатраты членов ВТК'!$F$464:$F$713,'Трудозатраты членов ВТК'!$D$464:$D$713,A:A),"-")</f>
        <v>0</v>
      </c>
      <c r="G62" s="302"/>
      <c r="H62" s="295">
        <f t="shared" si="10"/>
        <v>0</v>
      </c>
      <c r="I62" s="296">
        <f>IFERROR(ROUND(IF('Состав ВТК'!$K55=справочник!$A$5,IF(AND('Расчет участников НИР'!$A62='Состав ВТК'!$B55,$I$10='Состав ВТК'!$I55),$F62*$D62*VLOOKUP('Расчет участников НИР'!$B62,Расценка!$C$3:$E$13,3,FALSE),0),0),2),"-")</f>
        <v>0</v>
      </c>
      <c r="J62" s="296">
        <f>IFERROR(ROUND(IF('Состав ВТК'!$K55=справочник!$A$5,IF(AND('Расчет участников НИР'!$A62='Состав ВТК'!$B55,$J$10='Состав ВТК'!$I55),$F62*$D62*VLOOKUP('Расчет участников НИР'!$B62,Расценка!$C$3:$E$13,3,FALSE),0),0),2),"-")</f>
        <v>0</v>
      </c>
      <c r="K62" s="296">
        <f>IFERROR(ROUND(IF('Состав ВТК'!$K55=справочник!$A$5,IF(AND('Расчет участников НИР'!$A62='Состав ВТК'!$B55,$K$10='Состав ВТК'!$I55),$F62*$D62*VLOOKUP('Расчет участников НИР'!$B62,Расценка!$C$3:$E$13,3,FALSE),0),0),2),"-")</f>
        <v>0</v>
      </c>
      <c r="L62" s="297"/>
      <c r="M62" s="295">
        <f t="shared" si="3"/>
        <v>0</v>
      </c>
      <c r="N62" s="298">
        <f>IFERROR(ROUND(IF('Состав ВТК'!$K55=справочник!$A$5,(IF(AND($A62='Состав ВТК'!$B55,$N$10=$C62),$F62*$D62*VLOOKUP($B62,Расценка!$H$3:$K$9,4,FALSE),0)),0),2),"-")</f>
        <v>0</v>
      </c>
      <c r="O62" s="298">
        <f>IFERROR(ROUND(IF('Состав ВТК'!$K55=справочник!$A$5,(IF(AND($A62='Состав ВТК'!$B55,$O$10=$C62),$F62*$D62*VLOOKUP($B62,Расценка!$H$3:$K$9,4,FALSE),0)),0),2),"-")</f>
        <v>0</v>
      </c>
      <c r="P62" s="299">
        <f t="shared" si="11"/>
        <v>0</v>
      </c>
      <c r="Q62" s="300">
        <f t="shared" si="4"/>
        <v>0</v>
      </c>
      <c r="R62" s="300">
        <f t="shared" si="5"/>
        <v>0</v>
      </c>
      <c r="S62" s="295">
        <f t="shared" si="6"/>
        <v>0</v>
      </c>
      <c r="T62" s="298">
        <f>IFERROR(ROUND(IF(AND('Расчет участников НИР'!$A62='Состав ВТК'!$B55,'Расчет участников НИР'!$T$10='Состав ВТК'!$I55),$E62,0),2),"-")</f>
        <v>0</v>
      </c>
      <c r="U62" s="298">
        <f>IFERROR(ROUND(IF(AND('Расчет участников НИР'!$A62='Состав ВТК'!$B55,'Расчет участников НИР'!$U$10='Состав ВТК'!$I55),$E62,0),2),"-")</f>
        <v>0</v>
      </c>
      <c r="V62" s="298">
        <f>IFERROR(ROUND(IF(AND('Расчет участников НИР'!$A62='Состав ВТК'!$B55,'Расчет участников НИР'!$V$10='Состав ВТК'!$I55),$E62,0),2),"-")</f>
        <v>0</v>
      </c>
      <c r="W62" s="301" t="str">
        <f t="shared" si="7"/>
        <v>-</v>
      </c>
      <c r="X62" s="301" t="str">
        <f t="shared" si="8"/>
        <v>-</v>
      </c>
      <c r="Y62" s="301" t="str">
        <f t="shared" si="9"/>
        <v>-</v>
      </c>
    </row>
    <row r="63" spans="1:25" x14ac:dyDescent="0.25">
      <c r="A63" s="217">
        <f>'Состав ВТК'!B56</f>
        <v>0</v>
      </c>
      <c r="B63" s="290">
        <f>IFERROR(VLOOKUP($A63,Распределение!$B$13:$L$113,11,FALSE),"-")</f>
        <v>0</v>
      </c>
      <c r="C63" s="291" t="str">
        <f>IFERROR(IF(VLOOKUP($B63,Расценка!$H$3:$I$9,2,FALSE)="НС",Расценка!$T$11,Расценка!$T$12),"-")</f>
        <v>-</v>
      </c>
      <c r="D63" s="291">
        <f>IFERROR(INDEX(Распределение!$1:$1048576,MATCH($A63,Распределение!$B:$B,0),MATCH($D$8,Распределение!$9:$9,0)),"---")</f>
        <v>0</v>
      </c>
      <c r="E63" s="292">
        <f>IFERROR(SUMIFS('Трудозатраты членов ВТК'!$G$17:$G$117,'Трудозатраты членов ВТК'!$D$17:$D$117,A:A),"-")</f>
        <v>0</v>
      </c>
      <c r="F63" s="293">
        <f>IFERROR(SUMIFS('Трудозатраты членов ВТК'!$F$464:$F$713,'Трудозатраты членов ВТК'!$D$464:$D$713,A:A),"-")</f>
        <v>0</v>
      </c>
      <c r="G63" s="302"/>
      <c r="H63" s="295">
        <f t="shared" si="10"/>
        <v>0</v>
      </c>
      <c r="I63" s="296">
        <f>IFERROR(ROUND(IF('Состав ВТК'!$K56=справочник!$A$5,IF(AND('Расчет участников НИР'!$A63='Состав ВТК'!$B56,$I$10='Состав ВТК'!$I56),$F63*$D63*VLOOKUP('Расчет участников НИР'!$B63,Расценка!$C$3:$E$13,3,FALSE),0),0),2),"-")</f>
        <v>0</v>
      </c>
      <c r="J63" s="296">
        <f>IFERROR(ROUND(IF('Состав ВТК'!$K56=справочник!$A$5,IF(AND('Расчет участников НИР'!$A63='Состав ВТК'!$B56,$J$10='Состав ВТК'!$I56),$F63*$D63*VLOOKUP('Расчет участников НИР'!$B63,Расценка!$C$3:$E$13,3,FALSE),0),0),2),"-")</f>
        <v>0</v>
      </c>
      <c r="K63" s="296">
        <f>IFERROR(ROUND(IF('Состав ВТК'!$K56=справочник!$A$5,IF(AND('Расчет участников НИР'!$A63='Состав ВТК'!$B56,$K$10='Состав ВТК'!$I56),$F63*$D63*VLOOKUP('Расчет участников НИР'!$B63,Расценка!$C$3:$E$13,3,FALSE),0),0),2),"-")</f>
        <v>0</v>
      </c>
      <c r="L63" s="297"/>
      <c r="M63" s="295">
        <f t="shared" si="3"/>
        <v>0</v>
      </c>
      <c r="N63" s="298">
        <f>IFERROR(ROUND(IF('Состав ВТК'!$K56=справочник!$A$5,(IF(AND($A63='Состав ВТК'!$B56,$N$10=$C63),$F63*$D63*VLOOKUP($B63,Расценка!$H$3:$K$9,4,FALSE),0)),0),2),"-")</f>
        <v>0</v>
      </c>
      <c r="O63" s="298">
        <f>IFERROR(ROUND(IF('Состав ВТК'!$K56=справочник!$A$5,(IF(AND($A63='Состав ВТК'!$B56,$O$10=$C63),$F63*$D63*VLOOKUP($B63,Расценка!$H$3:$K$9,4,FALSE),0)),0),2),"-")</f>
        <v>0</v>
      </c>
      <c r="P63" s="299">
        <f t="shared" si="11"/>
        <v>0</v>
      </c>
      <c r="Q63" s="300">
        <f t="shared" si="4"/>
        <v>0</v>
      </c>
      <c r="R63" s="300">
        <f t="shared" si="5"/>
        <v>0</v>
      </c>
      <c r="S63" s="295">
        <f t="shared" si="6"/>
        <v>0</v>
      </c>
      <c r="T63" s="298">
        <f>IFERROR(ROUND(IF(AND('Расчет участников НИР'!$A63='Состав ВТК'!$B56,'Расчет участников НИР'!$T$10='Состав ВТК'!$I56),$E63,0),2),"-")</f>
        <v>0</v>
      </c>
      <c r="U63" s="298">
        <f>IFERROR(ROUND(IF(AND('Расчет участников НИР'!$A63='Состав ВТК'!$B56,'Расчет участников НИР'!$U$10='Состав ВТК'!$I56),$E63,0),2),"-")</f>
        <v>0</v>
      </c>
      <c r="V63" s="298">
        <f>IFERROR(ROUND(IF(AND('Расчет участников НИР'!$A63='Состав ВТК'!$B56,'Расчет участников НИР'!$V$10='Состав ВТК'!$I56),$E63,0),2),"-")</f>
        <v>0</v>
      </c>
      <c r="W63" s="301" t="str">
        <f t="shared" si="7"/>
        <v>-</v>
      </c>
      <c r="X63" s="301" t="str">
        <f t="shared" si="8"/>
        <v>-</v>
      </c>
      <c r="Y63" s="301" t="str">
        <f t="shared" si="9"/>
        <v>-</v>
      </c>
    </row>
    <row r="64" spans="1:25" x14ac:dyDescent="0.25">
      <c r="A64" s="217">
        <f>'Состав ВТК'!B57</f>
        <v>0</v>
      </c>
      <c r="B64" s="290">
        <f>IFERROR(VLOOKUP($A64,Распределение!$B$13:$L$113,11,FALSE),"-")</f>
        <v>0</v>
      </c>
      <c r="C64" s="291" t="str">
        <f>IFERROR(IF(VLOOKUP($B64,Расценка!$H$3:$I$9,2,FALSE)="НС",Расценка!$T$11,Расценка!$T$12),"-")</f>
        <v>-</v>
      </c>
      <c r="D64" s="291">
        <f>IFERROR(INDEX(Распределение!$1:$1048576,MATCH($A64,Распределение!$B:$B,0),MATCH($D$8,Распределение!$9:$9,0)),"---")</f>
        <v>0</v>
      </c>
      <c r="E64" s="292">
        <f>IFERROR(SUMIFS('Трудозатраты членов ВТК'!$G$17:$G$117,'Трудозатраты членов ВТК'!$D$17:$D$117,A:A),"-")</f>
        <v>0</v>
      </c>
      <c r="F64" s="293">
        <f>IFERROR(SUMIFS('Трудозатраты членов ВТК'!$F$464:$F$713,'Трудозатраты членов ВТК'!$D$464:$D$713,A:A),"-")</f>
        <v>0</v>
      </c>
      <c r="G64" s="302"/>
      <c r="H64" s="295">
        <f t="shared" si="10"/>
        <v>0</v>
      </c>
      <c r="I64" s="296">
        <f>IFERROR(ROUND(IF('Состав ВТК'!$K57=справочник!$A$5,IF(AND('Расчет участников НИР'!$A64='Состав ВТК'!$B57,$I$10='Состав ВТК'!$I57),$F64*$D64*VLOOKUP('Расчет участников НИР'!$B64,Расценка!$C$3:$E$13,3,FALSE),0),0),2),"-")</f>
        <v>0</v>
      </c>
      <c r="J64" s="296">
        <f>IFERROR(ROUND(IF('Состав ВТК'!$K57=справочник!$A$5,IF(AND('Расчет участников НИР'!$A64='Состав ВТК'!$B57,$J$10='Состав ВТК'!$I57),$F64*$D64*VLOOKUP('Расчет участников НИР'!$B64,Расценка!$C$3:$E$13,3,FALSE),0),0),2),"-")</f>
        <v>0</v>
      </c>
      <c r="K64" s="296">
        <f>IFERROR(ROUND(IF('Состав ВТК'!$K57=справочник!$A$5,IF(AND('Расчет участников НИР'!$A64='Состав ВТК'!$B57,$K$10='Состав ВТК'!$I57),$F64*$D64*VLOOKUP('Расчет участников НИР'!$B64,Расценка!$C$3:$E$13,3,FALSE),0),0),2),"-")</f>
        <v>0</v>
      </c>
      <c r="L64" s="297"/>
      <c r="M64" s="295">
        <f t="shared" si="3"/>
        <v>0</v>
      </c>
      <c r="N64" s="298">
        <f>IFERROR(ROUND(IF('Состав ВТК'!$K57=справочник!$A$5,(IF(AND($A64='Состав ВТК'!$B57,$N$10=$C64),$F64*$D64*VLOOKUP($B64,Расценка!$H$3:$K$9,4,FALSE),0)),0),2),"-")</f>
        <v>0</v>
      </c>
      <c r="O64" s="298">
        <f>IFERROR(ROUND(IF('Состав ВТК'!$K57=справочник!$A$5,(IF(AND($A64='Состав ВТК'!$B57,$O$10=$C64),$F64*$D64*VLOOKUP($B64,Расценка!$H$3:$K$9,4,FALSE),0)),0),2),"-")</f>
        <v>0</v>
      </c>
      <c r="P64" s="299">
        <f t="shared" si="11"/>
        <v>0</v>
      </c>
      <c r="Q64" s="300">
        <f t="shared" si="4"/>
        <v>0</v>
      </c>
      <c r="R64" s="300">
        <f t="shared" si="5"/>
        <v>0</v>
      </c>
      <c r="S64" s="295">
        <f t="shared" si="6"/>
        <v>0</v>
      </c>
      <c r="T64" s="298">
        <f>IFERROR(ROUND(IF(AND('Расчет участников НИР'!$A64='Состав ВТК'!$B57,'Расчет участников НИР'!$T$10='Состав ВТК'!$I57),$E64,0),2),"-")</f>
        <v>0</v>
      </c>
      <c r="U64" s="298">
        <f>IFERROR(ROUND(IF(AND('Расчет участников НИР'!$A64='Состав ВТК'!$B57,'Расчет участников НИР'!$U$10='Состав ВТК'!$I57),$E64,0),2),"-")</f>
        <v>0</v>
      </c>
      <c r="V64" s="298">
        <f>IFERROR(ROUND(IF(AND('Расчет участников НИР'!$A64='Состав ВТК'!$B57,'Расчет участников НИР'!$V$10='Состав ВТК'!$I57),$E64,0),2),"-")</f>
        <v>0</v>
      </c>
      <c r="W64" s="301" t="str">
        <f t="shared" si="7"/>
        <v>-</v>
      </c>
      <c r="X64" s="301" t="str">
        <f t="shared" si="8"/>
        <v>-</v>
      </c>
      <c r="Y64" s="301" t="str">
        <f t="shared" si="9"/>
        <v>-</v>
      </c>
    </row>
    <row r="65" spans="1:25" x14ac:dyDescent="0.25">
      <c r="A65" s="217">
        <f>'Состав ВТК'!B58</f>
        <v>0</v>
      </c>
      <c r="B65" s="290">
        <f>IFERROR(VLOOKUP($A65,Распределение!$B$13:$L$113,11,FALSE),"-")</f>
        <v>0</v>
      </c>
      <c r="C65" s="291" t="str">
        <f>IFERROR(IF(VLOOKUP($B65,Расценка!$H$3:$I$9,2,FALSE)="НС",Расценка!$T$11,Расценка!$T$12),"-")</f>
        <v>-</v>
      </c>
      <c r="D65" s="291">
        <f>IFERROR(INDEX(Распределение!$1:$1048576,MATCH($A65,Распределение!$B:$B,0),MATCH($D$8,Распределение!$9:$9,0)),"---")</f>
        <v>0</v>
      </c>
      <c r="E65" s="292">
        <f>IFERROR(SUMIFS('Трудозатраты членов ВТК'!$G$17:$G$117,'Трудозатраты членов ВТК'!$D$17:$D$117,A:A),"-")</f>
        <v>0</v>
      </c>
      <c r="F65" s="293">
        <f>IFERROR(SUMIFS('Трудозатраты членов ВТК'!$F$464:$F$713,'Трудозатраты членов ВТК'!$D$464:$D$713,A:A),"-")</f>
        <v>0</v>
      </c>
      <c r="G65" s="302"/>
      <c r="H65" s="295">
        <f t="shared" si="10"/>
        <v>0</v>
      </c>
      <c r="I65" s="296">
        <f>IFERROR(ROUND(IF('Состав ВТК'!$K58=справочник!$A$5,IF(AND('Расчет участников НИР'!$A65='Состав ВТК'!$B58,$I$10='Состав ВТК'!$I58),$F65*$D65*VLOOKUP('Расчет участников НИР'!$B65,Расценка!$C$3:$E$13,3,FALSE),0),0),2),"-")</f>
        <v>0</v>
      </c>
      <c r="J65" s="296">
        <f>IFERROR(ROUND(IF('Состав ВТК'!$K58=справочник!$A$5,IF(AND('Расчет участников НИР'!$A65='Состав ВТК'!$B58,$J$10='Состав ВТК'!$I58),$F65*$D65*VLOOKUP('Расчет участников НИР'!$B65,Расценка!$C$3:$E$13,3,FALSE),0),0),2),"-")</f>
        <v>0</v>
      </c>
      <c r="K65" s="296">
        <f>IFERROR(ROUND(IF('Состав ВТК'!$K58=справочник!$A$5,IF(AND('Расчет участников НИР'!$A65='Состав ВТК'!$B58,$K$10='Состав ВТК'!$I58),$F65*$D65*VLOOKUP('Расчет участников НИР'!$B65,Расценка!$C$3:$E$13,3,FALSE),0),0),2),"-")</f>
        <v>0</v>
      </c>
      <c r="L65" s="297"/>
      <c r="M65" s="295">
        <f t="shared" si="3"/>
        <v>0</v>
      </c>
      <c r="N65" s="298">
        <f>IFERROR(ROUND(IF('Состав ВТК'!$K58=справочник!$A$5,(IF(AND($A65='Состав ВТК'!$B58,$N$10=$C65),$F65*$D65*VLOOKUP($B65,Расценка!$H$3:$K$9,4,FALSE),0)),0),2),"-")</f>
        <v>0</v>
      </c>
      <c r="O65" s="298">
        <f>IFERROR(ROUND(IF('Состав ВТК'!$K58=справочник!$A$5,(IF(AND($A65='Состав ВТК'!$B58,$O$10=$C65),$F65*$D65*VLOOKUP($B65,Расценка!$H$3:$K$9,4,FALSE),0)),0),2),"-")</f>
        <v>0</v>
      </c>
      <c r="P65" s="299">
        <f t="shared" si="11"/>
        <v>0</v>
      </c>
      <c r="Q65" s="300">
        <f t="shared" si="4"/>
        <v>0</v>
      </c>
      <c r="R65" s="300">
        <f t="shared" si="5"/>
        <v>0</v>
      </c>
      <c r="S65" s="295">
        <f t="shared" si="6"/>
        <v>0</v>
      </c>
      <c r="T65" s="298">
        <f>IFERROR(ROUND(IF(AND('Расчет участников НИР'!$A65='Состав ВТК'!$B58,'Расчет участников НИР'!$T$10='Состав ВТК'!$I58),$E65,0),2),"-")</f>
        <v>0</v>
      </c>
      <c r="U65" s="298">
        <f>IFERROR(ROUND(IF(AND('Расчет участников НИР'!$A65='Состав ВТК'!$B58,'Расчет участников НИР'!$U$10='Состав ВТК'!$I58),$E65,0),2),"-")</f>
        <v>0</v>
      </c>
      <c r="V65" s="298">
        <f>IFERROR(ROUND(IF(AND('Расчет участников НИР'!$A65='Состав ВТК'!$B58,'Расчет участников НИР'!$V$10='Состав ВТК'!$I58),$E65,0),2),"-")</f>
        <v>0</v>
      </c>
      <c r="W65" s="301" t="str">
        <f t="shared" si="7"/>
        <v>-</v>
      </c>
      <c r="X65" s="301" t="str">
        <f t="shared" si="8"/>
        <v>-</v>
      </c>
      <c r="Y65" s="301" t="str">
        <f t="shared" si="9"/>
        <v>-</v>
      </c>
    </row>
    <row r="66" spans="1:25" x14ac:dyDescent="0.25">
      <c r="A66" s="217">
        <f>'Состав ВТК'!B59</f>
        <v>0</v>
      </c>
      <c r="B66" s="290">
        <f>IFERROR(VLOOKUP($A66,Распределение!$B$13:$L$113,11,FALSE),"-")</f>
        <v>0</v>
      </c>
      <c r="C66" s="291" t="str">
        <f>IFERROR(IF(VLOOKUP($B66,Расценка!$H$3:$I$9,2,FALSE)="НС",Расценка!$T$11,Расценка!$T$12),"-")</f>
        <v>-</v>
      </c>
      <c r="D66" s="291">
        <f>IFERROR(INDEX(Распределение!$1:$1048576,MATCH($A66,Распределение!$B:$B,0),MATCH($D$8,Распределение!$9:$9,0)),"---")</f>
        <v>0</v>
      </c>
      <c r="E66" s="292">
        <f>IFERROR(SUMIFS('Трудозатраты членов ВТК'!$G$17:$G$117,'Трудозатраты членов ВТК'!$D$17:$D$117,A:A),"-")</f>
        <v>0</v>
      </c>
      <c r="F66" s="293">
        <f>IFERROR(SUMIFS('Трудозатраты членов ВТК'!$F$464:$F$713,'Трудозатраты членов ВТК'!$D$464:$D$713,A:A),"-")</f>
        <v>0</v>
      </c>
      <c r="G66" s="302"/>
      <c r="H66" s="295">
        <f t="shared" si="10"/>
        <v>0</v>
      </c>
      <c r="I66" s="296">
        <f>IFERROR(ROUND(IF('Состав ВТК'!$K59=справочник!$A$5,IF(AND('Расчет участников НИР'!$A66='Состав ВТК'!$B59,$I$10='Состав ВТК'!$I59),$F66*$D66*VLOOKUP('Расчет участников НИР'!$B66,Расценка!$C$3:$E$13,3,FALSE),0),0),2),"-")</f>
        <v>0</v>
      </c>
      <c r="J66" s="296">
        <f>IFERROR(ROUND(IF('Состав ВТК'!$K59=справочник!$A$5,IF(AND('Расчет участников НИР'!$A66='Состав ВТК'!$B59,$J$10='Состав ВТК'!$I59),$F66*$D66*VLOOKUP('Расчет участников НИР'!$B66,Расценка!$C$3:$E$13,3,FALSE),0),0),2),"-")</f>
        <v>0</v>
      </c>
      <c r="K66" s="296">
        <f>IFERROR(ROUND(IF('Состав ВТК'!$K59=справочник!$A$5,IF(AND('Расчет участников НИР'!$A66='Состав ВТК'!$B59,$K$10='Состав ВТК'!$I59),$F66*$D66*VLOOKUP('Расчет участников НИР'!$B66,Расценка!$C$3:$E$13,3,FALSE),0),0),2),"-")</f>
        <v>0</v>
      </c>
      <c r="L66" s="297"/>
      <c r="M66" s="295">
        <f t="shared" si="3"/>
        <v>0</v>
      </c>
      <c r="N66" s="298">
        <f>IFERROR(ROUND(IF('Состав ВТК'!$K59=справочник!$A$5,(IF(AND($A66='Состав ВТК'!$B59,$N$10=$C66),$F66*$D66*VLOOKUP($B66,Расценка!$H$3:$K$9,4,FALSE),0)),0),2),"-")</f>
        <v>0</v>
      </c>
      <c r="O66" s="298">
        <f>IFERROR(ROUND(IF('Состав ВТК'!$K59=справочник!$A$5,(IF(AND($A66='Состав ВТК'!$B59,$O$10=$C66),$F66*$D66*VLOOKUP($B66,Расценка!$H$3:$K$9,4,FALSE),0)),0),2),"-")</f>
        <v>0</v>
      </c>
      <c r="P66" s="299">
        <f t="shared" si="11"/>
        <v>0</v>
      </c>
      <c r="Q66" s="300">
        <f t="shared" si="4"/>
        <v>0</v>
      </c>
      <c r="R66" s="300">
        <f t="shared" si="5"/>
        <v>0</v>
      </c>
      <c r="S66" s="295">
        <f t="shared" si="6"/>
        <v>0</v>
      </c>
      <c r="T66" s="298">
        <f>IFERROR(ROUND(IF(AND('Расчет участников НИР'!$A66='Состав ВТК'!$B59,'Расчет участников НИР'!$T$10='Состав ВТК'!$I59),$E66,0),2),"-")</f>
        <v>0</v>
      </c>
      <c r="U66" s="298">
        <f>IFERROR(ROUND(IF(AND('Расчет участников НИР'!$A66='Состав ВТК'!$B59,'Расчет участников НИР'!$U$10='Состав ВТК'!$I59),$E66,0),2),"-")</f>
        <v>0</v>
      </c>
      <c r="V66" s="298">
        <f>IFERROR(ROUND(IF(AND('Расчет участников НИР'!$A66='Состав ВТК'!$B59,'Расчет участников НИР'!$V$10='Состав ВТК'!$I59),$E66,0),2),"-")</f>
        <v>0</v>
      </c>
      <c r="W66" s="301" t="str">
        <f t="shared" si="7"/>
        <v>-</v>
      </c>
      <c r="X66" s="301" t="str">
        <f t="shared" si="8"/>
        <v>-</v>
      </c>
      <c r="Y66" s="301" t="str">
        <f t="shared" si="9"/>
        <v>-</v>
      </c>
    </row>
    <row r="67" spans="1:25" x14ac:dyDescent="0.25">
      <c r="A67" s="217">
        <f>'Состав ВТК'!B60</f>
        <v>0</v>
      </c>
      <c r="B67" s="290">
        <f>IFERROR(VLOOKUP($A67,Распределение!$B$13:$L$113,11,FALSE),"-")</f>
        <v>0</v>
      </c>
      <c r="C67" s="291" t="str">
        <f>IFERROR(IF(VLOOKUP($B67,Расценка!$H$3:$I$9,2,FALSE)="НС",Расценка!$T$11,Расценка!$T$12),"-")</f>
        <v>-</v>
      </c>
      <c r="D67" s="291">
        <f>IFERROR(INDEX(Распределение!$1:$1048576,MATCH($A67,Распределение!$B:$B,0),MATCH($D$8,Распределение!$9:$9,0)),"---")</f>
        <v>0</v>
      </c>
      <c r="E67" s="292">
        <f>IFERROR(SUMIFS('Трудозатраты членов ВТК'!$G$17:$G$117,'Трудозатраты членов ВТК'!$D$17:$D$117,A:A),"-")</f>
        <v>0</v>
      </c>
      <c r="F67" s="293">
        <f>IFERROR(SUMIFS('Трудозатраты членов ВТК'!$F$464:$F$713,'Трудозатраты членов ВТК'!$D$464:$D$713,A:A),"-")</f>
        <v>0</v>
      </c>
      <c r="G67" s="302"/>
      <c r="H67" s="295">
        <f t="shared" si="10"/>
        <v>0</v>
      </c>
      <c r="I67" s="296">
        <f>IFERROR(ROUND(IF('Состав ВТК'!$K60=справочник!$A$5,IF(AND('Расчет участников НИР'!$A67='Состав ВТК'!$B60,$I$10='Состав ВТК'!$I60),$F67*$D67*VLOOKUP('Расчет участников НИР'!$B67,Расценка!$C$3:$E$13,3,FALSE),0),0),2),"-")</f>
        <v>0</v>
      </c>
      <c r="J67" s="296">
        <f>IFERROR(ROUND(IF('Состав ВТК'!$K60=справочник!$A$5,IF(AND('Расчет участников НИР'!$A67='Состав ВТК'!$B60,$J$10='Состав ВТК'!$I60),$F67*$D67*VLOOKUP('Расчет участников НИР'!$B67,Расценка!$C$3:$E$13,3,FALSE),0),0),2),"-")</f>
        <v>0</v>
      </c>
      <c r="K67" s="296">
        <f>IFERROR(ROUND(IF('Состав ВТК'!$K60=справочник!$A$5,IF(AND('Расчет участников НИР'!$A67='Состав ВТК'!$B60,$K$10='Состав ВТК'!$I60),$F67*$D67*VLOOKUP('Расчет участников НИР'!$B67,Расценка!$C$3:$E$13,3,FALSE),0),0),2),"-")</f>
        <v>0</v>
      </c>
      <c r="L67" s="297"/>
      <c r="M67" s="295">
        <f t="shared" si="3"/>
        <v>0</v>
      </c>
      <c r="N67" s="298">
        <f>IFERROR(ROUND(IF('Состав ВТК'!$K60=справочник!$A$5,(IF(AND($A67='Состав ВТК'!$B60,$N$10=$C67),$F67*$D67*VLOOKUP($B67,Расценка!$H$3:$K$9,4,FALSE),0)),0),2),"-")</f>
        <v>0</v>
      </c>
      <c r="O67" s="298">
        <f>IFERROR(ROUND(IF('Состав ВТК'!$K60=справочник!$A$5,(IF(AND($A67='Состав ВТК'!$B60,$O$10=$C67),$F67*$D67*VLOOKUP($B67,Расценка!$H$3:$K$9,4,FALSE),0)),0),2),"-")</f>
        <v>0</v>
      </c>
      <c r="P67" s="299">
        <f t="shared" si="11"/>
        <v>0</v>
      </c>
      <c r="Q67" s="300">
        <f t="shared" si="4"/>
        <v>0</v>
      </c>
      <c r="R67" s="300">
        <f t="shared" si="5"/>
        <v>0</v>
      </c>
      <c r="S67" s="295">
        <f t="shared" si="6"/>
        <v>0</v>
      </c>
      <c r="T67" s="298">
        <f>IFERROR(ROUND(IF(AND('Расчет участников НИР'!$A67='Состав ВТК'!$B60,'Расчет участников НИР'!$T$10='Состав ВТК'!$I60),$E67,0),2),"-")</f>
        <v>0</v>
      </c>
      <c r="U67" s="298">
        <f>IFERROR(ROUND(IF(AND('Расчет участников НИР'!$A67='Состав ВТК'!$B60,'Расчет участников НИР'!$U$10='Состав ВТК'!$I60),$E67,0),2),"-")</f>
        <v>0</v>
      </c>
      <c r="V67" s="298">
        <f>IFERROR(ROUND(IF(AND('Расчет участников НИР'!$A67='Состав ВТК'!$B60,'Расчет участников НИР'!$V$10='Состав ВТК'!$I60),$E67,0),2),"-")</f>
        <v>0</v>
      </c>
      <c r="W67" s="301" t="str">
        <f t="shared" si="7"/>
        <v>-</v>
      </c>
      <c r="X67" s="301" t="str">
        <f t="shared" si="8"/>
        <v>-</v>
      </c>
      <c r="Y67" s="301" t="str">
        <f t="shared" si="9"/>
        <v>-</v>
      </c>
    </row>
    <row r="68" spans="1:25" x14ac:dyDescent="0.25">
      <c r="A68" s="217">
        <f>'Состав ВТК'!B61</f>
        <v>0</v>
      </c>
      <c r="B68" s="290">
        <f>IFERROR(VLOOKUP($A68,Распределение!$B$13:$L$113,11,FALSE),"-")</f>
        <v>0</v>
      </c>
      <c r="C68" s="291" t="str">
        <f>IFERROR(IF(VLOOKUP($B68,Расценка!$H$3:$I$9,2,FALSE)="НС",Расценка!$T$11,Расценка!$T$12),"-")</f>
        <v>-</v>
      </c>
      <c r="D68" s="291">
        <f>IFERROR(INDEX(Распределение!$1:$1048576,MATCH($A68,Распределение!$B:$B,0),MATCH($D$8,Распределение!$9:$9,0)),"---")</f>
        <v>0</v>
      </c>
      <c r="E68" s="292">
        <f>IFERROR(SUMIFS('Трудозатраты членов ВТК'!$G$17:$G$117,'Трудозатраты членов ВТК'!$D$17:$D$117,A:A),"-")</f>
        <v>0</v>
      </c>
      <c r="F68" s="293">
        <f>IFERROR(SUMIFS('Трудозатраты членов ВТК'!$F$464:$F$713,'Трудозатраты членов ВТК'!$D$464:$D$713,A:A),"-")</f>
        <v>0</v>
      </c>
      <c r="G68" s="302"/>
      <c r="H68" s="295">
        <f t="shared" si="10"/>
        <v>0</v>
      </c>
      <c r="I68" s="296">
        <f>IFERROR(ROUND(IF('Состав ВТК'!$K61=справочник!$A$5,IF(AND('Расчет участников НИР'!$A68='Состав ВТК'!$B61,$I$10='Состав ВТК'!$I61),$F68*$D68*VLOOKUP('Расчет участников НИР'!$B68,Расценка!$C$3:$E$13,3,FALSE),0),0),2),"-")</f>
        <v>0</v>
      </c>
      <c r="J68" s="296">
        <f>IFERROR(ROUND(IF('Состав ВТК'!$K61=справочник!$A$5,IF(AND('Расчет участников НИР'!$A68='Состав ВТК'!$B61,$J$10='Состав ВТК'!$I61),$F68*$D68*VLOOKUP('Расчет участников НИР'!$B68,Расценка!$C$3:$E$13,3,FALSE),0),0),2),"-")</f>
        <v>0</v>
      </c>
      <c r="K68" s="296">
        <f>IFERROR(ROUND(IF('Состав ВТК'!$K61=справочник!$A$5,IF(AND('Расчет участников НИР'!$A68='Состав ВТК'!$B61,$K$10='Состав ВТК'!$I61),$F68*$D68*VLOOKUP('Расчет участников НИР'!$B68,Расценка!$C$3:$E$13,3,FALSE),0),0),2),"-")</f>
        <v>0</v>
      </c>
      <c r="L68" s="297"/>
      <c r="M68" s="295">
        <f t="shared" si="3"/>
        <v>0</v>
      </c>
      <c r="N68" s="298">
        <f>IFERROR(ROUND(IF('Состав ВТК'!$K61=справочник!$A$5,(IF(AND($A68='Состав ВТК'!$B61,$N$10=$C68),$F68*$D68*VLOOKUP($B68,Расценка!$H$3:$K$9,4,FALSE),0)),0),2),"-")</f>
        <v>0</v>
      </c>
      <c r="O68" s="298">
        <f>IFERROR(ROUND(IF('Состав ВТК'!$K61=справочник!$A$5,(IF(AND($A68='Состав ВТК'!$B61,$O$10=$C68),$F68*$D68*VLOOKUP($B68,Расценка!$H$3:$K$9,4,FALSE),0)),0),2),"-")</f>
        <v>0</v>
      </c>
      <c r="P68" s="299">
        <f t="shared" si="11"/>
        <v>0</v>
      </c>
      <c r="Q68" s="300">
        <f t="shared" si="4"/>
        <v>0</v>
      </c>
      <c r="R68" s="300">
        <f t="shared" si="5"/>
        <v>0</v>
      </c>
      <c r="S68" s="295">
        <f t="shared" si="6"/>
        <v>0</v>
      </c>
      <c r="T68" s="298">
        <f>IFERROR(ROUND(IF(AND('Расчет участников НИР'!$A68='Состав ВТК'!$B61,'Расчет участников НИР'!$T$10='Состав ВТК'!$I61),$E68,0),2),"-")</f>
        <v>0</v>
      </c>
      <c r="U68" s="298">
        <f>IFERROR(ROUND(IF(AND('Расчет участников НИР'!$A68='Состав ВТК'!$B61,'Расчет участников НИР'!$U$10='Состав ВТК'!$I61),$E68,0),2),"-")</f>
        <v>0</v>
      </c>
      <c r="V68" s="298">
        <f>IFERROR(ROUND(IF(AND('Расчет участников НИР'!$A68='Состав ВТК'!$B61,'Расчет участников НИР'!$V$10='Состав ВТК'!$I61),$E68,0),2),"-")</f>
        <v>0</v>
      </c>
      <c r="W68" s="301" t="str">
        <f t="shared" si="7"/>
        <v>-</v>
      </c>
      <c r="X68" s="301" t="str">
        <f t="shared" si="8"/>
        <v>-</v>
      </c>
      <c r="Y68" s="301" t="str">
        <f t="shared" si="9"/>
        <v>-</v>
      </c>
    </row>
    <row r="69" spans="1:25" x14ac:dyDescent="0.25">
      <c r="A69" s="217">
        <f>'Состав ВТК'!B62</f>
        <v>0</v>
      </c>
      <c r="B69" s="290">
        <f>IFERROR(VLOOKUP($A69,Распределение!$B$13:$L$113,11,FALSE),"-")</f>
        <v>0</v>
      </c>
      <c r="C69" s="291" t="str">
        <f>IFERROR(IF(VLOOKUP($B69,Расценка!$H$3:$I$9,2,FALSE)="НС",Расценка!$T$11,Расценка!$T$12),"-")</f>
        <v>-</v>
      </c>
      <c r="D69" s="291">
        <f>IFERROR(INDEX(Распределение!$1:$1048576,MATCH($A69,Распределение!$B:$B,0),MATCH($D$8,Распределение!$9:$9,0)),"---")</f>
        <v>0</v>
      </c>
      <c r="E69" s="292">
        <f>IFERROR(SUMIFS('Трудозатраты членов ВТК'!$G$17:$G$117,'Трудозатраты членов ВТК'!$D$17:$D$117,A:A),"-")</f>
        <v>0</v>
      </c>
      <c r="F69" s="293">
        <f>IFERROR(SUMIFS('Трудозатраты членов ВТК'!$F$464:$F$713,'Трудозатраты членов ВТК'!$D$464:$D$713,A:A),"-")</f>
        <v>0</v>
      </c>
      <c r="G69" s="302"/>
      <c r="H69" s="295">
        <f t="shared" si="10"/>
        <v>0</v>
      </c>
      <c r="I69" s="296">
        <f>IFERROR(ROUND(IF('Состав ВТК'!$K62=справочник!$A$5,IF(AND('Расчет участников НИР'!$A69='Состав ВТК'!$B62,$I$10='Состав ВТК'!$I62),$F69*$D69*VLOOKUP('Расчет участников НИР'!$B69,Расценка!$C$3:$E$13,3,FALSE),0),0),2),"-")</f>
        <v>0</v>
      </c>
      <c r="J69" s="296">
        <f>IFERROR(ROUND(IF('Состав ВТК'!$K62=справочник!$A$5,IF(AND('Расчет участников НИР'!$A69='Состав ВТК'!$B62,$J$10='Состав ВТК'!$I62),$F69*$D69*VLOOKUP('Расчет участников НИР'!$B69,Расценка!$C$3:$E$13,3,FALSE),0),0),2),"-")</f>
        <v>0</v>
      </c>
      <c r="K69" s="296">
        <f>IFERROR(ROUND(IF('Состав ВТК'!$K62=справочник!$A$5,IF(AND('Расчет участников НИР'!$A69='Состав ВТК'!$B62,$K$10='Состав ВТК'!$I62),$F69*$D69*VLOOKUP('Расчет участников НИР'!$B69,Расценка!$C$3:$E$13,3,FALSE),0),0),2),"-")</f>
        <v>0</v>
      </c>
      <c r="L69" s="297"/>
      <c r="M69" s="295">
        <f t="shared" si="3"/>
        <v>0</v>
      </c>
      <c r="N69" s="298">
        <f>IFERROR(ROUND(IF('Состав ВТК'!$K62=справочник!$A$5,(IF(AND($A69='Состав ВТК'!$B62,$N$10=$C69),$F69*$D69*VLOOKUP($B69,Расценка!$H$3:$K$9,4,FALSE),0)),0),2),"-")</f>
        <v>0</v>
      </c>
      <c r="O69" s="298">
        <f>IFERROR(ROUND(IF('Состав ВТК'!$K62=справочник!$A$5,(IF(AND($A69='Состав ВТК'!$B62,$O$10=$C69),$F69*$D69*VLOOKUP($B69,Расценка!$H$3:$K$9,4,FALSE),0)),0),2),"-")</f>
        <v>0</v>
      </c>
      <c r="P69" s="299">
        <f t="shared" si="11"/>
        <v>0</v>
      </c>
      <c r="Q69" s="300">
        <f t="shared" si="4"/>
        <v>0</v>
      </c>
      <c r="R69" s="300">
        <f t="shared" si="5"/>
        <v>0</v>
      </c>
      <c r="S69" s="295">
        <f t="shared" si="6"/>
        <v>0</v>
      </c>
      <c r="T69" s="298">
        <f>IFERROR(ROUND(IF(AND('Расчет участников НИР'!$A69='Состав ВТК'!$B62,'Расчет участников НИР'!$T$10='Состав ВТК'!$I62),$E69,0),2),"-")</f>
        <v>0</v>
      </c>
      <c r="U69" s="298">
        <f>IFERROR(ROUND(IF(AND('Расчет участников НИР'!$A69='Состав ВТК'!$B62,'Расчет участников НИР'!$U$10='Состав ВТК'!$I62),$E69,0),2),"-")</f>
        <v>0</v>
      </c>
      <c r="V69" s="298">
        <f>IFERROR(ROUND(IF(AND('Расчет участников НИР'!$A69='Состав ВТК'!$B62,'Расчет участников НИР'!$V$10='Состав ВТК'!$I62),$E69,0),2),"-")</f>
        <v>0</v>
      </c>
      <c r="W69" s="301" t="str">
        <f t="shared" si="7"/>
        <v>-</v>
      </c>
      <c r="X69" s="301" t="str">
        <f t="shared" si="8"/>
        <v>-</v>
      </c>
      <c r="Y69" s="301" t="str">
        <f t="shared" si="9"/>
        <v>-</v>
      </c>
    </row>
    <row r="70" spans="1:25" x14ac:dyDescent="0.25">
      <c r="A70" s="217">
        <f>'Состав ВТК'!B63</f>
        <v>0</v>
      </c>
      <c r="B70" s="290">
        <f>IFERROR(VLOOKUP($A70,Распределение!$B$13:$L$113,11,FALSE),"-")</f>
        <v>0</v>
      </c>
      <c r="C70" s="291" t="str">
        <f>IFERROR(IF(VLOOKUP($B70,Расценка!$H$3:$I$9,2,FALSE)="НС",Расценка!$T$11,Расценка!$T$12),"-")</f>
        <v>-</v>
      </c>
      <c r="D70" s="291">
        <f>IFERROR(INDEX(Распределение!$1:$1048576,MATCH($A70,Распределение!$B:$B,0),MATCH($D$8,Распределение!$9:$9,0)),"---")</f>
        <v>0</v>
      </c>
      <c r="E70" s="292">
        <f>IFERROR(SUMIFS('Трудозатраты членов ВТК'!$G$17:$G$117,'Трудозатраты членов ВТК'!$D$17:$D$117,A:A),"-")</f>
        <v>0</v>
      </c>
      <c r="F70" s="293">
        <f>IFERROR(SUMIFS('Трудозатраты членов ВТК'!$F$464:$F$713,'Трудозатраты членов ВТК'!$D$464:$D$713,A:A),"-")</f>
        <v>0</v>
      </c>
      <c r="G70" s="302"/>
      <c r="H70" s="295">
        <f t="shared" si="10"/>
        <v>0</v>
      </c>
      <c r="I70" s="296">
        <f>IFERROR(ROUND(IF('Состав ВТК'!$K63=справочник!$A$5,IF(AND('Расчет участников НИР'!$A70='Состав ВТК'!$B63,$I$10='Состав ВТК'!$I63),$F70*$D70*VLOOKUP('Расчет участников НИР'!$B70,Расценка!$C$3:$E$13,3,FALSE),0),0),2),"-")</f>
        <v>0</v>
      </c>
      <c r="J70" s="296">
        <f>IFERROR(ROUND(IF('Состав ВТК'!$K63=справочник!$A$5,IF(AND('Расчет участников НИР'!$A70='Состав ВТК'!$B63,$J$10='Состав ВТК'!$I63),$F70*$D70*VLOOKUP('Расчет участников НИР'!$B70,Расценка!$C$3:$E$13,3,FALSE),0),0),2),"-")</f>
        <v>0</v>
      </c>
      <c r="K70" s="296">
        <f>IFERROR(ROUND(IF('Состав ВТК'!$K63=справочник!$A$5,IF(AND('Расчет участников НИР'!$A70='Состав ВТК'!$B63,$K$10='Состав ВТК'!$I63),$F70*$D70*VLOOKUP('Расчет участников НИР'!$B70,Расценка!$C$3:$E$13,3,FALSE),0),0),2),"-")</f>
        <v>0</v>
      </c>
      <c r="L70" s="297"/>
      <c r="M70" s="295">
        <f t="shared" si="3"/>
        <v>0</v>
      </c>
      <c r="N70" s="298">
        <f>IFERROR(ROUND(IF('Состав ВТК'!$K63=справочник!$A$5,(IF(AND($A70='Состав ВТК'!$B63,$N$10=$C70),$F70*$D70*VLOOKUP($B70,Расценка!$H$3:$K$9,4,FALSE),0)),0),2),"-")</f>
        <v>0</v>
      </c>
      <c r="O70" s="298">
        <f>IFERROR(ROUND(IF('Состав ВТК'!$K63=справочник!$A$5,(IF(AND($A70='Состав ВТК'!$B63,$O$10=$C70),$F70*$D70*VLOOKUP($B70,Расценка!$H$3:$K$9,4,FALSE),0)),0),2),"-")</f>
        <v>0</v>
      </c>
      <c r="P70" s="299">
        <f t="shared" si="11"/>
        <v>0</v>
      </c>
      <c r="Q70" s="300">
        <f t="shared" si="4"/>
        <v>0</v>
      </c>
      <c r="R70" s="300">
        <f t="shared" si="5"/>
        <v>0</v>
      </c>
      <c r="S70" s="295">
        <f t="shared" si="6"/>
        <v>0</v>
      </c>
      <c r="T70" s="298">
        <f>IFERROR(ROUND(IF(AND('Расчет участников НИР'!$A70='Состав ВТК'!$B63,'Расчет участников НИР'!$T$10='Состав ВТК'!$I63),$E70,0),2),"-")</f>
        <v>0</v>
      </c>
      <c r="U70" s="298">
        <f>IFERROR(ROUND(IF(AND('Расчет участников НИР'!$A70='Состав ВТК'!$B63,'Расчет участников НИР'!$U$10='Состав ВТК'!$I63),$E70,0),2),"-")</f>
        <v>0</v>
      </c>
      <c r="V70" s="298">
        <f>IFERROR(ROUND(IF(AND('Расчет участников НИР'!$A70='Состав ВТК'!$B63,'Расчет участников НИР'!$V$10='Состав ВТК'!$I63),$E70,0),2),"-")</f>
        <v>0</v>
      </c>
      <c r="W70" s="301" t="str">
        <f t="shared" si="7"/>
        <v>-</v>
      </c>
      <c r="X70" s="301" t="str">
        <f t="shared" si="8"/>
        <v>-</v>
      </c>
      <c r="Y70" s="301" t="str">
        <f t="shared" si="9"/>
        <v>-</v>
      </c>
    </row>
    <row r="71" spans="1:25" x14ac:dyDescent="0.25">
      <c r="A71" s="217">
        <f>'Состав ВТК'!B64</f>
        <v>0</v>
      </c>
      <c r="B71" s="290">
        <f>IFERROR(VLOOKUP($A71,Распределение!$B$13:$L$113,11,FALSE),"-")</f>
        <v>0</v>
      </c>
      <c r="C71" s="291" t="str">
        <f>IFERROR(IF(VLOOKUP($B71,Расценка!$H$3:$I$9,2,FALSE)="НС",Расценка!$T$11,Расценка!$T$12),"-")</f>
        <v>-</v>
      </c>
      <c r="D71" s="291">
        <f>IFERROR(INDEX(Распределение!$1:$1048576,MATCH($A71,Распределение!$B:$B,0),MATCH($D$8,Распределение!$9:$9,0)),"---")</f>
        <v>0</v>
      </c>
      <c r="E71" s="292">
        <f>IFERROR(SUMIFS('Трудозатраты членов ВТК'!$G$17:$G$117,'Трудозатраты членов ВТК'!$D$17:$D$117,A:A),"-")</f>
        <v>0</v>
      </c>
      <c r="F71" s="293">
        <f>IFERROR(SUMIFS('Трудозатраты членов ВТК'!$F$464:$F$713,'Трудозатраты членов ВТК'!$D$464:$D$713,A:A),"-")</f>
        <v>0</v>
      </c>
      <c r="G71" s="302"/>
      <c r="H71" s="295">
        <f t="shared" si="10"/>
        <v>0</v>
      </c>
      <c r="I71" s="296">
        <f>IFERROR(ROUND(IF('Состав ВТК'!$K64=справочник!$A$5,IF(AND('Расчет участников НИР'!$A71='Состав ВТК'!$B64,$I$10='Состав ВТК'!$I64),$F71*$D71*VLOOKUP('Расчет участников НИР'!$B71,Расценка!$C$3:$E$13,3,FALSE),0),0),2),"-")</f>
        <v>0</v>
      </c>
      <c r="J71" s="296">
        <f>IFERROR(ROUND(IF('Состав ВТК'!$K64=справочник!$A$5,IF(AND('Расчет участников НИР'!$A71='Состав ВТК'!$B64,$J$10='Состав ВТК'!$I64),$F71*$D71*VLOOKUP('Расчет участников НИР'!$B71,Расценка!$C$3:$E$13,3,FALSE),0),0),2),"-")</f>
        <v>0</v>
      </c>
      <c r="K71" s="296">
        <f>IFERROR(ROUND(IF('Состав ВТК'!$K64=справочник!$A$5,IF(AND('Расчет участников НИР'!$A71='Состав ВТК'!$B64,$K$10='Состав ВТК'!$I64),$F71*$D71*VLOOKUP('Расчет участников НИР'!$B71,Расценка!$C$3:$E$13,3,FALSE),0),0),2),"-")</f>
        <v>0</v>
      </c>
      <c r="L71" s="297"/>
      <c r="M71" s="295">
        <f t="shared" si="3"/>
        <v>0</v>
      </c>
      <c r="N71" s="298">
        <f>IFERROR(ROUND(IF('Состав ВТК'!$K64=справочник!$A$5,(IF(AND($A71='Состав ВТК'!$B64,$N$10=$C71),$F71*$D71*VLOOKUP($B71,Расценка!$H$3:$K$9,4,FALSE),0)),0),2),"-")</f>
        <v>0</v>
      </c>
      <c r="O71" s="298">
        <f>IFERROR(ROUND(IF('Состав ВТК'!$K64=справочник!$A$5,(IF(AND($A71='Состав ВТК'!$B64,$O$10=$C71),$F71*$D71*VLOOKUP($B71,Расценка!$H$3:$K$9,4,FALSE),0)),0),2),"-")</f>
        <v>0</v>
      </c>
      <c r="P71" s="299">
        <f t="shared" si="11"/>
        <v>0</v>
      </c>
      <c r="Q71" s="300">
        <f t="shared" si="4"/>
        <v>0</v>
      </c>
      <c r="R71" s="300">
        <f t="shared" si="5"/>
        <v>0</v>
      </c>
      <c r="S71" s="295">
        <f t="shared" si="6"/>
        <v>0</v>
      </c>
      <c r="T71" s="298">
        <f>IFERROR(ROUND(IF(AND('Расчет участников НИР'!$A71='Состав ВТК'!$B64,'Расчет участников НИР'!$T$10='Состав ВТК'!$I64),$E71,0),2),"-")</f>
        <v>0</v>
      </c>
      <c r="U71" s="298">
        <f>IFERROR(ROUND(IF(AND('Расчет участников НИР'!$A71='Состав ВТК'!$B64,'Расчет участников НИР'!$U$10='Состав ВТК'!$I64),$E71,0),2),"-")</f>
        <v>0</v>
      </c>
      <c r="V71" s="298">
        <f>IFERROR(ROUND(IF(AND('Расчет участников НИР'!$A71='Состав ВТК'!$B64,'Расчет участников НИР'!$V$10='Состав ВТК'!$I64),$E71,0),2),"-")</f>
        <v>0</v>
      </c>
      <c r="W71" s="301" t="str">
        <f t="shared" si="7"/>
        <v>-</v>
      </c>
      <c r="X71" s="301" t="str">
        <f t="shared" si="8"/>
        <v>-</v>
      </c>
      <c r="Y71" s="301" t="str">
        <f t="shared" si="9"/>
        <v>-</v>
      </c>
    </row>
    <row r="72" spans="1:25" x14ac:dyDescent="0.25">
      <c r="A72" s="217">
        <f>'Состав ВТК'!B65</f>
        <v>0</v>
      </c>
      <c r="B72" s="290">
        <f>IFERROR(VLOOKUP($A72,Распределение!$B$13:$L$113,11,FALSE),"-")</f>
        <v>0</v>
      </c>
      <c r="C72" s="291" t="str">
        <f>IFERROR(IF(VLOOKUP($B72,Расценка!$H$3:$I$9,2,FALSE)="НС",Расценка!$T$11,Расценка!$T$12),"-")</f>
        <v>-</v>
      </c>
      <c r="D72" s="291">
        <f>IFERROR(INDEX(Распределение!$1:$1048576,MATCH($A72,Распределение!$B:$B,0),MATCH($D$8,Распределение!$9:$9,0)),"---")</f>
        <v>0</v>
      </c>
      <c r="E72" s="292">
        <f>IFERROR(SUMIFS('Трудозатраты членов ВТК'!$G$17:$G$117,'Трудозатраты членов ВТК'!$D$17:$D$117,A:A),"-")</f>
        <v>0</v>
      </c>
      <c r="F72" s="293">
        <f>IFERROR(SUMIFS('Трудозатраты членов ВТК'!$F$464:$F$713,'Трудозатраты членов ВТК'!$D$464:$D$713,A:A),"-")</f>
        <v>0</v>
      </c>
      <c r="G72" s="302"/>
      <c r="H72" s="295">
        <f t="shared" si="10"/>
        <v>0</v>
      </c>
      <c r="I72" s="296">
        <f>IFERROR(ROUND(IF('Состав ВТК'!$K65=справочник!$A$5,IF(AND('Расчет участников НИР'!$A72='Состав ВТК'!$B65,$I$10='Состав ВТК'!$I65),$F72*$D72*VLOOKUP('Расчет участников НИР'!$B72,Расценка!$C$3:$E$13,3,FALSE),0),0),2),"-")</f>
        <v>0</v>
      </c>
      <c r="J72" s="296">
        <f>IFERROR(ROUND(IF('Состав ВТК'!$K65=справочник!$A$5,IF(AND('Расчет участников НИР'!$A72='Состав ВТК'!$B65,$J$10='Состав ВТК'!$I65),$F72*$D72*VLOOKUP('Расчет участников НИР'!$B72,Расценка!$C$3:$E$13,3,FALSE),0),0),2),"-")</f>
        <v>0</v>
      </c>
      <c r="K72" s="296">
        <f>IFERROR(ROUND(IF('Состав ВТК'!$K65=справочник!$A$5,IF(AND('Расчет участников НИР'!$A72='Состав ВТК'!$B65,$K$10='Состав ВТК'!$I65),$F72*$D72*VLOOKUP('Расчет участников НИР'!$B72,Расценка!$C$3:$E$13,3,FALSE),0),0),2),"-")</f>
        <v>0</v>
      </c>
      <c r="L72" s="297"/>
      <c r="M72" s="295">
        <f t="shared" si="3"/>
        <v>0</v>
      </c>
      <c r="N72" s="298">
        <f>IFERROR(ROUND(IF('Состав ВТК'!$K65=справочник!$A$5,(IF(AND($A72='Состав ВТК'!$B65,$N$10=$C72),$F72*$D72*VLOOKUP($B72,Расценка!$H$3:$K$9,4,FALSE),0)),0),2),"-")</f>
        <v>0</v>
      </c>
      <c r="O72" s="298">
        <f>IFERROR(ROUND(IF('Состав ВТК'!$K65=справочник!$A$5,(IF(AND($A72='Состав ВТК'!$B65,$O$10=$C72),$F72*$D72*VLOOKUP($B72,Расценка!$H$3:$K$9,4,FALSE),0)),0),2),"-")</f>
        <v>0</v>
      </c>
      <c r="P72" s="299">
        <f t="shared" si="11"/>
        <v>0</v>
      </c>
      <c r="Q72" s="300">
        <f t="shared" si="4"/>
        <v>0</v>
      </c>
      <c r="R72" s="300">
        <f t="shared" si="5"/>
        <v>0</v>
      </c>
      <c r="S72" s="295">
        <f t="shared" si="6"/>
        <v>0</v>
      </c>
      <c r="T72" s="298">
        <f>IFERROR(ROUND(IF(AND('Расчет участников НИР'!$A72='Состав ВТК'!$B65,'Расчет участников НИР'!$T$10='Состав ВТК'!$I65),$E72,0),2),"-")</f>
        <v>0</v>
      </c>
      <c r="U72" s="298">
        <f>IFERROR(ROUND(IF(AND('Расчет участников НИР'!$A72='Состав ВТК'!$B65,'Расчет участников НИР'!$U$10='Состав ВТК'!$I65),$E72,0),2),"-")</f>
        <v>0</v>
      </c>
      <c r="V72" s="298">
        <f>IFERROR(ROUND(IF(AND('Расчет участников НИР'!$A72='Состав ВТК'!$B65,'Расчет участников НИР'!$V$10='Состав ВТК'!$I65),$E72,0),2),"-")</f>
        <v>0</v>
      </c>
      <c r="W72" s="301" t="str">
        <f t="shared" si="7"/>
        <v>-</v>
      </c>
      <c r="X72" s="301" t="str">
        <f t="shared" si="8"/>
        <v>-</v>
      </c>
      <c r="Y72" s="301" t="str">
        <f t="shared" si="9"/>
        <v>-</v>
      </c>
    </row>
    <row r="73" spans="1:25" x14ac:dyDescent="0.25">
      <c r="A73" s="217">
        <f>'Состав ВТК'!B66</f>
        <v>0</v>
      </c>
      <c r="B73" s="290">
        <f>IFERROR(VLOOKUP($A73,Распределение!$B$13:$L$113,11,FALSE),"-")</f>
        <v>0</v>
      </c>
      <c r="C73" s="291" t="str">
        <f>IFERROR(IF(VLOOKUP($B73,Расценка!$H$3:$I$9,2,FALSE)="НС",Расценка!$T$11,Расценка!$T$12),"-")</f>
        <v>-</v>
      </c>
      <c r="D73" s="291">
        <f>IFERROR(INDEX(Распределение!$1:$1048576,MATCH($A73,Распределение!$B:$B,0),MATCH($D$8,Распределение!$9:$9,0)),"---")</f>
        <v>0</v>
      </c>
      <c r="E73" s="292">
        <f>IFERROR(SUMIFS('Трудозатраты членов ВТК'!$G$17:$G$117,'Трудозатраты членов ВТК'!$D$17:$D$117,A:A),"-")</f>
        <v>0</v>
      </c>
      <c r="F73" s="293">
        <f>IFERROR(SUMIFS('Трудозатраты членов ВТК'!$F$464:$F$713,'Трудозатраты членов ВТК'!$D$464:$D$713,A:A),"-")</f>
        <v>0</v>
      </c>
      <c r="G73" s="302"/>
      <c r="H73" s="295">
        <f t="shared" si="10"/>
        <v>0</v>
      </c>
      <c r="I73" s="296">
        <f>IFERROR(ROUND(IF('Состав ВТК'!$K66=справочник!$A$5,IF(AND('Расчет участников НИР'!$A73='Состав ВТК'!$B66,$I$10='Состав ВТК'!$I66),$F73*$D73*VLOOKUP('Расчет участников НИР'!$B73,Расценка!$C$3:$E$13,3,FALSE),0),0),2),"-")</f>
        <v>0</v>
      </c>
      <c r="J73" s="296">
        <f>IFERROR(ROUND(IF('Состав ВТК'!$K66=справочник!$A$5,IF(AND('Расчет участников НИР'!$A73='Состав ВТК'!$B66,$J$10='Состав ВТК'!$I66),$F73*$D73*VLOOKUP('Расчет участников НИР'!$B73,Расценка!$C$3:$E$13,3,FALSE),0),0),2),"-")</f>
        <v>0</v>
      </c>
      <c r="K73" s="296">
        <f>IFERROR(ROUND(IF('Состав ВТК'!$K66=справочник!$A$5,IF(AND('Расчет участников НИР'!$A73='Состав ВТК'!$B66,$K$10='Состав ВТК'!$I66),$F73*$D73*VLOOKUP('Расчет участников НИР'!$B73,Расценка!$C$3:$E$13,3,FALSE),0),0),2),"-")</f>
        <v>0</v>
      </c>
      <c r="L73" s="297"/>
      <c r="M73" s="295">
        <f t="shared" si="3"/>
        <v>0</v>
      </c>
      <c r="N73" s="298">
        <f>IFERROR(ROUND(IF('Состав ВТК'!$K66=справочник!$A$5,(IF(AND($A73='Состав ВТК'!$B66,$N$10=$C73),$F73*$D73*VLOOKUP($B73,Расценка!$H$3:$K$9,4,FALSE),0)),0),2),"-")</f>
        <v>0</v>
      </c>
      <c r="O73" s="298">
        <f>IFERROR(ROUND(IF('Состав ВТК'!$K66=справочник!$A$5,(IF(AND($A73='Состав ВТК'!$B66,$O$10=$C73),$F73*$D73*VLOOKUP($B73,Расценка!$H$3:$K$9,4,FALSE),0)),0),2),"-")</f>
        <v>0</v>
      </c>
      <c r="P73" s="299">
        <f t="shared" si="11"/>
        <v>0</v>
      </c>
      <c r="Q73" s="300">
        <f t="shared" si="4"/>
        <v>0</v>
      </c>
      <c r="R73" s="300">
        <f t="shared" si="5"/>
        <v>0</v>
      </c>
      <c r="S73" s="295">
        <f t="shared" si="6"/>
        <v>0</v>
      </c>
      <c r="T73" s="298">
        <f>IFERROR(ROUND(IF(AND('Расчет участников НИР'!$A73='Состав ВТК'!$B66,'Расчет участников НИР'!$T$10='Состав ВТК'!$I66),$E73,0),2),"-")</f>
        <v>0</v>
      </c>
      <c r="U73" s="298">
        <f>IFERROR(ROUND(IF(AND('Расчет участников НИР'!$A73='Состав ВТК'!$B66,'Расчет участников НИР'!$U$10='Состав ВТК'!$I66),$E73,0),2),"-")</f>
        <v>0</v>
      </c>
      <c r="V73" s="298">
        <f>IFERROR(ROUND(IF(AND('Расчет участников НИР'!$A73='Состав ВТК'!$B66,'Расчет участников НИР'!$V$10='Состав ВТК'!$I66),$E73,0),2),"-")</f>
        <v>0</v>
      </c>
      <c r="W73" s="301" t="str">
        <f t="shared" si="7"/>
        <v>-</v>
      </c>
      <c r="X73" s="301" t="str">
        <f t="shared" si="8"/>
        <v>-</v>
      </c>
      <c r="Y73" s="301" t="str">
        <f t="shared" si="9"/>
        <v>-</v>
      </c>
    </row>
    <row r="74" spans="1:25" x14ac:dyDescent="0.25">
      <c r="A74" s="217">
        <f>'Состав ВТК'!B67</f>
        <v>0</v>
      </c>
      <c r="B74" s="290">
        <f>IFERROR(VLOOKUP($A74,Распределение!$B$13:$L$113,11,FALSE),"-")</f>
        <v>0</v>
      </c>
      <c r="C74" s="291" t="str">
        <f>IFERROR(IF(VLOOKUP($B74,Расценка!$H$3:$I$9,2,FALSE)="НС",Расценка!$T$11,Расценка!$T$12),"-")</f>
        <v>-</v>
      </c>
      <c r="D74" s="291">
        <f>IFERROR(INDEX(Распределение!$1:$1048576,MATCH($A74,Распределение!$B:$B,0),MATCH($D$8,Распределение!$9:$9,0)),"---")</f>
        <v>0</v>
      </c>
      <c r="E74" s="292">
        <f>IFERROR(SUMIFS('Трудозатраты членов ВТК'!$G$17:$G$117,'Трудозатраты членов ВТК'!$D$17:$D$117,A:A),"-")</f>
        <v>0</v>
      </c>
      <c r="F74" s="293">
        <f>IFERROR(SUMIFS('Трудозатраты членов ВТК'!$F$464:$F$713,'Трудозатраты членов ВТК'!$D$464:$D$713,A:A),"-")</f>
        <v>0</v>
      </c>
      <c r="G74" s="302"/>
      <c r="H74" s="295">
        <f t="shared" si="10"/>
        <v>0</v>
      </c>
      <c r="I74" s="296">
        <f>IFERROR(ROUND(IF('Состав ВТК'!$K67=справочник!$A$5,IF(AND('Расчет участников НИР'!$A74='Состав ВТК'!$B67,$I$10='Состав ВТК'!$I67),$F74*$D74*VLOOKUP('Расчет участников НИР'!$B74,Расценка!$C$3:$E$13,3,FALSE),0),0),2),"-")</f>
        <v>0</v>
      </c>
      <c r="J74" s="296">
        <f>IFERROR(ROUND(IF('Состав ВТК'!$K67=справочник!$A$5,IF(AND('Расчет участников НИР'!$A74='Состав ВТК'!$B67,$J$10='Состав ВТК'!$I67),$F74*$D74*VLOOKUP('Расчет участников НИР'!$B74,Расценка!$C$3:$E$13,3,FALSE),0),0),2),"-")</f>
        <v>0</v>
      </c>
      <c r="K74" s="296">
        <f>IFERROR(ROUND(IF('Состав ВТК'!$K67=справочник!$A$5,IF(AND('Расчет участников НИР'!$A74='Состав ВТК'!$B67,$K$10='Состав ВТК'!$I67),$F74*$D74*VLOOKUP('Расчет участников НИР'!$B74,Расценка!$C$3:$E$13,3,FALSE),0),0),2),"-")</f>
        <v>0</v>
      </c>
      <c r="L74" s="297"/>
      <c r="M74" s="295">
        <f t="shared" si="3"/>
        <v>0</v>
      </c>
      <c r="N74" s="298">
        <f>IFERROR(ROUND(IF('Состав ВТК'!$K67=справочник!$A$5,(IF(AND($A74='Состав ВТК'!$B67,$N$10=$C74),$F74*$D74*VLOOKUP($B74,Расценка!$H$3:$K$9,4,FALSE),0)),0),2),"-")</f>
        <v>0</v>
      </c>
      <c r="O74" s="298">
        <f>IFERROR(ROUND(IF('Состав ВТК'!$K67=справочник!$A$5,(IF(AND($A74='Состав ВТК'!$B67,$O$10=$C74),$F74*$D74*VLOOKUP($B74,Расценка!$H$3:$K$9,4,FALSE),0)),0),2),"-")</f>
        <v>0</v>
      </c>
      <c r="P74" s="299">
        <f t="shared" si="11"/>
        <v>0</v>
      </c>
      <c r="Q74" s="300">
        <f t="shared" si="4"/>
        <v>0</v>
      </c>
      <c r="R74" s="300">
        <f t="shared" si="5"/>
        <v>0</v>
      </c>
      <c r="S74" s="295">
        <f t="shared" si="6"/>
        <v>0</v>
      </c>
      <c r="T74" s="298">
        <f>IFERROR(ROUND(IF(AND('Расчет участников НИР'!$A74='Состав ВТК'!$B67,'Расчет участников НИР'!$T$10='Состав ВТК'!$I67),$E74,0),2),"-")</f>
        <v>0</v>
      </c>
      <c r="U74" s="298">
        <f>IFERROR(ROUND(IF(AND('Расчет участников НИР'!$A74='Состав ВТК'!$B67,'Расчет участников НИР'!$U$10='Состав ВТК'!$I67),$E74,0),2),"-")</f>
        <v>0</v>
      </c>
      <c r="V74" s="298">
        <f>IFERROR(ROUND(IF(AND('Расчет участников НИР'!$A74='Состав ВТК'!$B67,'Расчет участников НИР'!$V$10='Состав ВТК'!$I67),$E74,0),2),"-")</f>
        <v>0</v>
      </c>
      <c r="W74" s="301" t="str">
        <f t="shared" si="7"/>
        <v>-</v>
      </c>
      <c r="X74" s="301" t="str">
        <f t="shared" si="8"/>
        <v>-</v>
      </c>
      <c r="Y74" s="301" t="str">
        <f t="shared" si="9"/>
        <v>-</v>
      </c>
    </row>
    <row r="75" spans="1:25" x14ac:dyDescent="0.25">
      <c r="A75" s="217">
        <f>'Состав ВТК'!B68</f>
        <v>0</v>
      </c>
      <c r="B75" s="290">
        <f>IFERROR(VLOOKUP($A75,Распределение!$B$13:$L$113,11,FALSE),"-")</f>
        <v>0</v>
      </c>
      <c r="C75" s="291" t="str">
        <f>IFERROR(IF(VLOOKUP($B75,Расценка!$H$3:$I$9,2,FALSE)="НС",Расценка!$T$11,Расценка!$T$12),"-")</f>
        <v>-</v>
      </c>
      <c r="D75" s="291">
        <f>IFERROR(INDEX(Распределение!$1:$1048576,MATCH($A75,Распределение!$B:$B,0),MATCH($D$8,Распределение!$9:$9,0)),"---")</f>
        <v>0</v>
      </c>
      <c r="E75" s="292">
        <f>IFERROR(SUMIFS('Трудозатраты членов ВТК'!$G$17:$G$117,'Трудозатраты членов ВТК'!$D$17:$D$117,A:A),"-")</f>
        <v>0</v>
      </c>
      <c r="F75" s="293">
        <f>IFERROR(SUMIFS('Трудозатраты членов ВТК'!$F$464:$F$713,'Трудозатраты членов ВТК'!$D$464:$D$713,A:A),"-")</f>
        <v>0</v>
      </c>
      <c r="G75" s="302"/>
      <c r="H75" s="295">
        <f t="shared" si="10"/>
        <v>0</v>
      </c>
      <c r="I75" s="296">
        <f>IFERROR(ROUND(IF('Состав ВТК'!$K68=справочник!$A$5,IF(AND('Расчет участников НИР'!$A75='Состав ВТК'!$B68,$I$10='Состав ВТК'!$I68),$F75*$D75*VLOOKUP('Расчет участников НИР'!$B75,Расценка!$C$3:$E$13,3,FALSE),0),0),2),"-")</f>
        <v>0</v>
      </c>
      <c r="J75" s="296">
        <f>IFERROR(ROUND(IF('Состав ВТК'!$K68=справочник!$A$5,IF(AND('Расчет участников НИР'!$A75='Состав ВТК'!$B68,$J$10='Состав ВТК'!$I68),$F75*$D75*VLOOKUP('Расчет участников НИР'!$B75,Расценка!$C$3:$E$13,3,FALSE),0),0),2),"-")</f>
        <v>0</v>
      </c>
      <c r="K75" s="296">
        <f>IFERROR(ROUND(IF('Состав ВТК'!$K68=справочник!$A$5,IF(AND('Расчет участников НИР'!$A75='Состав ВТК'!$B68,$K$10='Состав ВТК'!$I68),$F75*$D75*VLOOKUP('Расчет участников НИР'!$B75,Расценка!$C$3:$E$13,3,FALSE),0),0),2),"-")</f>
        <v>0</v>
      </c>
      <c r="L75" s="297"/>
      <c r="M75" s="295">
        <f t="shared" si="3"/>
        <v>0</v>
      </c>
      <c r="N75" s="298">
        <f>IFERROR(ROUND(IF('Состав ВТК'!$K68=справочник!$A$5,(IF(AND($A75='Состав ВТК'!$B68,$N$10=$C75),$F75*$D75*VLOOKUP($B75,Расценка!$H$3:$K$9,4,FALSE),0)),0),2),"-")</f>
        <v>0</v>
      </c>
      <c r="O75" s="298">
        <f>IFERROR(ROUND(IF('Состав ВТК'!$K68=справочник!$A$5,(IF(AND($A75='Состав ВТК'!$B68,$O$10=$C75),$F75*$D75*VLOOKUP($B75,Расценка!$H$3:$K$9,4,FALSE),0)),0),2),"-")</f>
        <v>0</v>
      </c>
      <c r="P75" s="299">
        <f t="shared" si="11"/>
        <v>0</v>
      </c>
      <c r="Q75" s="300">
        <f t="shared" si="4"/>
        <v>0</v>
      </c>
      <c r="R75" s="300">
        <f t="shared" si="5"/>
        <v>0</v>
      </c>
      <c r="S75" s="295">
        <f t="shared" si="6"/>
        <v>0</v>
      </c>
      <c r="T75" s="298">
        <f>IFERROR(ROUND(IF(AND('Расчет участников НИР'!$A75='Состав ВТК'!$B68,'Расчет участников НИР'!$T$10='Состав ВТК'!$I68),$E75,0),2),"-")</f>
        <v>0</v>
      </c>
      <c r="U75" s="298">
        <f>IFERROR(ROUND(IF(AND('Расчет участников НИР'!$A75='Состав ВТК'!$B68,'Расчет участников НИР'!$U$10='Состав ВТК'!$I68),$E75,0),2),"-")</f>
        <v>0</v>
      </c>
      <c r="V75" s="298">
        <f>IFERROR(ROUND(IF(AND('Расчет участников НИР'!$A75='Состав ВТК'!$B68,'Расчет участников НИР'!$V$10='Состав ВТК'!$I68),$E75,0),2),"-")</f>
        <v>0</v>
      </c>
      <c r="W75" s="301" t="str">
        <f t="shared" si="7"/>
        <v>-</v>
      </c>
      <c r="X75" s="301" t="str">
        <f t="shared" si="8"/>
        <v>-</v>
      </c>
      <c r="Y75" s="301" t="str">
        <f t="shared" si="9"/>
        <v>-</v>
      </c>
    </row>
    <row r="76" spans="1:25" x14ac:dyDescent="0.25">
      <c r="A76" s="217">
        <f>'Состав ВТК'!B69</f>
        <v>0</v>
      </c>
      <c r="B76" s="290">
        <f>IFERROR(VLOOKUP($A76,Распределение!$B$13:$L$113,11,FALSE),"-")</f>
        <v>0</v>
      </c>
      <c r="C76" s="291" t="str">
        <f>IFERROR(IF(VLOOKUP($B76,Расценка!$H$3:$I$9,2,FALSE)="НС",Расценка!$T$11,Расценка!$T$12),"-")</f>
        <v>-</v>
      </c>
      <c r="D76" s="291">
        <f>IFERROR(INDEX(Распределение!$1:$1048576,MATCH($A76,Распределение!$B:$B,0),MATCH($D$8,Распределение!$9:$9,0)),"---")</f>
        <v>0</v>
      </c>
      <c r="E76" s="292">
        <f>IFERROR(SUMIFS('Трудозатраты членов ВТК'!$G$17:$G$117,'Трудозатраты членов ВТК'!$D$17:$D$117,A:A),"-")</f>
        <v>0</v>
      </c>
      <c r="F76" s="293">
        <f>IFERROR(SUMIFS('Трудозатраты членов ВТК'!$F$464:$F$713,'Трудозатраты членов ВТК'!$D$464:$D$713,A:A),"-")</f>
        <v>0</v>
      </c>
      <c r="G76" s="302"/>
      <c r="H76" s="295">
        <f t="shared" si="10"/>
        <v>0</v>
      </c>
      <c r="I76" s="296">
        <f>IFERROR(ROUND(IF('Состав ВТК'!$K69=справочник!$A$5,IF(AND('Расчет участников НИР'!$A76='Состав ВТК'!$B69,$I$10='Состав ВТК'!$I69),$F76*$D76*VLOOKUP('Расчет участников НИР'!$B76,Расценка!$C$3:$E$13,3,FALSE),0),0),2),"-")</f>
        <v>0</v>
      </c>
      <c r="J76" s="296">
        <f>IFERROR(ROUND(IF('Состав ВТК'!$K69=справочник!$A$5,IF(AND('Расчет участников НИР'!$A76='Состав ВТК'!$B69,$J$10='Состав ВТК'!$I69),$F76*$D76*VLOOKUP('Расчет участников НИР'!$B76,Расценка!$C$3:$E$13,3,FALSE),0),0),2),"-")</f>
        <v>0</v>
      </c>
      <c r="K76" s="296">
        <f>IFERROR(ROUND(IF('Состав ВТК'!$K69=справочник!$A$5,IF(AND('Расчет участников НИР'!$A76='Состав ВТК'!$B69,$K$10='Состав ВТК'!$I69),$F76*$D76*VLOOKUP('Расчет участников НИР'!$B76,Расценка!$C$3:$E$13,3,FALSE),0),0),2),"-")</f>
        <v>0</v>
      </c>
      <c r="L76" s="297"/>
      <c r="M76" s="295">
        <f t="shared" si="3"/>
        <v>0</v>
      </c>
      <c r="N76" s="298">
        <f>IFERROR(ROUND(IF('Состав ВТК'!$K69=справочник!$A$5,(IF(AND($A76='Состав ВТК'!$B69,$N$10=$C76),$F76*$D76*VLOOKUP($B76,Расценка!$H$3:$K$9,4,FALSE),0)),0),2),"-")</f>
        <v>0</v>
      </c>
      <c r="O76" s="298">
        <f>IFERROR(ROUND(IF('Состав ВТК'!$K69=справочник!$A$5,(IF(AND($A76='Состав ВТК'!$B69,$O$10=$C76),$F76*$D76*VLOOKUP($B76,Расценка!$H$3:$K$9,4,FALSE),0)),0),2),"-")</f>
        <v>0</v>
      </c>
      <c r="P76" s="299">
        <f t="shared" si="11"/>
        <v>0</v>
      </c>
      <c r="Q76" s="300">
        <f t="shared" si="4"/>
        <v>0</v>
      </c>
      <c r="R76" s="300">
        <f t="shared" si="5"/>
        <v>0</v>
      </c>
      <c r="S76" s="295">
        <f t="shared" si="6"/>
        <v>0</v>
      </c>
      <c r="T76" s="298">
        <f>IFERROR(ROUND(IF(AND('Расчет участников НИР'!$A76='Состав ВТК'!$B69,'Расчет участников НИР'!$T$10='Состав ВТК'!$I69),$E76,0),2),"-")</f>
        <v>0</v>
      </c>
      <c r="U76" s="298">
        <f>IFERROR(ROUND(IF(AND('Расчет участников НИР'!$A76='Состав ВТК'!$B69,'Расчет участников НИР'!$U$10='Состав ВТК'!$I69),$E76,0),2),"-")</f>
        <v>0</v>
      </c>
      <c r="V76" s="298">
        <f>IFERROR(ROUND(IF(AND('Расчет участников НИР'!$A76='Состав ВТК'!$B69,'Расчет участников НИР'!$V$10='Состав ВТК'!$I69),$E76,0),2),"-")</f>
        <v>0</v>
      </c>
      <c r="W76" s="301" t="str">
        <f t="shared" si="7"/>
        <v>-</v>
      </c>
      <c r="X76" s="301" t="str">
        <f t="shared" si="8"/>
        <v>-</v>
      </c>
      <c r="Y76" s="301" t="str">
        <f t="shared" si="9"/>
        <v>-</v>
      </c>
    </row>
    <row r="77" spans="1:25" x14ac:dyDescent="0.25">
      <c r="A77" s="217">
        <f>'Состав ВТК'!B70</f>
        <v>0</v>
      </c>
      <c r="B77" s="290">
        <f>IFERROR(VLOOKUP($A77,Распределение!$B$13:$L$113,11,FALSE),"-")</f>
        <v>0</v>
      </c>
      <c r="C77" s="291" t="str">
        <f>IFERROR(IF(VLOOKUP($B77,Расценка!$H$3:$I$9,2,FALSE)="НС",Расценка!$T$11,Расценка!$T$12),"-")</f>
        <v>-</v>
      </c>
      <c r="D77" s="291">
        <f>IFERROR(INDEX(Распределение!$1:$1048576,MATCH($A77,Распределение!$B:$B,0),MATCH($D$8,Распределение!$9:$9,0)),"---")</f>
        <v>0</v>
      </c>
      <c r="E77" s="292">
        <f>IFERROR(SUMIFS('Трудозатраты членов ВТК'!$G$17:$G$117,'Трудозатраты членов ВТК'!$D$17:$D$117,A:A),"-")</f>
        <v>0</v>
      </c>
      <c r="F77" s="293">
        <f>IFERROR(SUMIFS('Трудозатраты членов ВТК'!$F$464:$F$713,'Трудозатраты членов ВТК'!$D$464:$D$713,A:A),"-")</f>
        <v>0</v>
      </c>
      <c r="G77" s="302"/>
      <c r="H77" s="295">
        <f t="shared" si="10"/>
        <v>0</v>
      </c>
      <c r="I77" s="296">
        <f>IFERROR(ROUND(IF('Состав ВТК'!$K70=справочник!$A$5,IF(AND('Расчет участников НИР'!$A77='Состав ВТК'!$B70,$I$10='Состав ВТК'!$I70),$F77*$D77*VLOOKUP('Расчет участников НИР'!$B77,Расценка!$C$3:$E$13,3,FALSE),0),0),2),"-")</f>
        <v>0</v>
      </c>
      <c r="J77" s="296">
        <f>IFERROR(ROUND(IF('Состав ВТК'!$K70=справочник!$A$5,IF(AND('Расчет участников НИР'!$A77='Состав ВТК'!$B70,$J$10='Состав ВТК'!$I70),$F77*$D77*VLOOKUP('Расчет участников НИР'!$B77,Расценка!$C$3:$E$13,3,FALSE),0),0),2),"-")</f>
        <v>0</v>
      </c>
      <c r="K77" s="296">
        <f>IFERROR(ROUND(IF('Состав ВТК'!$K70=справочник!$A$5,IF(AND('Расчет участников НИР'!$A77='Состав ВТК'!$B70,$K$10='Состав ВТК'!$I70),$F77*$D77*VLOOKUP('Расчет участников НИР'!$B77,Расценка!$C$3:$E$13,3,FALSE),0),0),2),"-")</f>
        <v>0</v>
      </c>
      <c r="L77" s="297"/>
      <c r="M77" s="295">
        <f t="shared" si="3"/>
        <v>0</v>
      </c>
      <c r="N77" s="298">
        <f>IFERROR(ROUND(IF('Состав ВТК'!$K70=справочник!$A$5,(IF(AND($A77='Состав ВТК'!$B70,$N$10=$C77),$F77*$D77*VLOOKUP($B77,Расценка!$H$3:$K$9,4,FALSE),0)),0),2),"-")</f>
        <v>0</v>
      </c>
      <c r="O77" s="298">
        <f>IFERROR(ROUND(IF('Состав ВТК'!$K70=справочник!$A$5,(IF(AND($A77='Состав ВТК'!$B70,$O$10=$C77),$F77*$D77*VLOOKUP($B77,Расценка!$H$3:$K$9,4,FALSE),0)),0),2),"-")</f>
        <v>0</v>
      </c>
      <c r="P77" s="299">
        <f t="shared" si="11"/>
        <v>0</v>
      </c>
      <c r="Q77" s="300">
        <f t="shared" si="4"/>
        <v>0</v>
      </c>
      <c r="R77" s="300">
        <f t="shared" si="5"/>
        <v>0</v>
      </c>
      <c r="S77" s="295">
        <f t="shared" si="6"/>
        <v>0</v>
      </c>
      <c r="T77" s="298">
        <f>IFERROR(ROUND(IF(AND('Расчет участников НИР'!$A77='Состав ВТК'!$B70,'Расчет участников НИР'!$T$10='Состав ВТК'!$I70),$E77,0),2),"-")</f>
        <v>0</v>
      </c>
      <c r="U77" s="298">
        <f>IFERROR(ROUND(IF(AND('Расчет участников НИР'!$A77='Состав ВТК'!$B70,'Расчет участников НИР'!$U$10='Состав ВТК'!$I70),$E77,0),2),"-")</f>
        <v>0</v>
      </c>
      <c r="V77" s="298">
        <f>IFERROR(ROUND(IF(AND('Расчет участников НИР'!$A77='Состав ВТК'!$B70,'Расчет участников НИР'!$V$10='Состав ВТК'!$I70),$E77,0),2),"-")</f>
        <v>0</v>
      </c>
      <c r="W77" s="301" t="str">
        <f t="shared" si="7"/>
        <v>-</v>
      </c>
      <c r="X77" s="301" t="str">
        <f t="shared" si="8"/>
        <v>-</v>
      </c>
      <c r="Y77" s="301" t="str">
        <f t="shared" si="9"/>
        <v>-</v>
      </c>
    </row>
    <row r="78" spans="1:25" x14ac:dyDescent="0.25">
      <c r="A78" s="217">
        <f>'Состав ВТК'!B71</f>
        <v>0</v>
      </c>
      <c r="B78" s="290">
        <f>IFERROR(VLOOKUP($A78,Распределение!$B$13:$L$113,11,FALSE),"-")</f>
        <v>0</v>
      </c>
      <c r="C78" s="291" t="str">
        <f>IFERROR(IF(VLOOKUP($B78,Расценка!$H$3:$I$9,2,FALSE)="НС",Расценка!$T$11,Расценка!$T$12),"-")</f>
        <v>-</v>
      </c>
      <c r="D78" s="291">
        <f>IFERROR(INDEX(Распределение!$1:$1048576,MATCH($A78,Распределение!$B:$B,0),MATCH($D$8,Распределение!$9:$9,0)),"---")</f>
        <v>0</v>
      </c>
      <c r="E78" s="292">
        <f>IFERROR(SUMIFS('Трудозатраты членов ВТК'!$G$17:$G$117,'Трудозатраты членов ВТК'!$D$17:$D$117,A:A),"-")</f>
        <v>0</v>
      </c>
      <c r="F78" s="293">
        <f>IFERROR(SUMIFS('Трудозатраты членов ВТК'!$F$464:$F$713,'Трудозатраты членов ВТК'!$D$464:$D$713,A:A),"-")</f>
        <v>0</v>
      </c>
      <c r="G78" s="302"/>
      <c r="H78" s="295">
        <f t="shared" si="10"/>
        <v>0</v>
      </c>
      <c r="I78" s="296">
        <f>IFERROR(ROUND(IF('Состав ВТК'!$K71=справочник!$A$5,IF(AND('Расчет участников НИР'!$A78='Состав ВТК'!$B71,$I$10='Состав ВТК'!$I71),$F78*$D78*VLOOKUP('Расчет участников НИР'!$B78,Расценка!$C$3:$E$13,3,FALSE),0),0),2),"-")</f>
        <v>0</v>
      </c>
      <c r="J78" s="296">
        <f>IFERROR(ROUND(IF('Состав ВТК'!$K71=справочник!$A$5,IF(AND('Расчет участников НИР'!$A78='Состав ВТК'!$B71,$J$10='Состав ВТК'!$I71),$F78*$D78*VLOOKUP('Расчет участников НИР'!$B78,Расценка!$C$3:$E$13,3,FALSE),0),0),2),"-")</f>
        <v>0</v>
      </c>
      <c r="K78" s="296">
        <f>IFERROR(ROUND(IF('Состав ВТК'!$K71=справочник!$A$5,IF(AND('Расчет участников НИР'!$A78='Состав ВТК'!$B71,$K$10='Состав ВТК'!$I71),$F78*$D78*VLOOKUP('Расчет участников НИР'!$B78,Расценка!$C$3:$E$13,3,FALSE),0),0),2),"-")</f>
        <v>0</v>
      </c>
      <c r="L78" s="297"/>
      <c r="M78" s="295">
        <f t="shared" si="3"/>
        <v>0</v>
      </c>
      <c r="N78" s="298">
        <f>IFERROR(ROUND(IF('Состав ВТК'!$K71=справочник!$A$5,(IF(AND($A78='Состав ВТК'!$B71,$N$10=$C78),$F78*$D78*VLOOKUP($B78,Расценка!$H$3:$K$9,4,FALSE),0)),0),2),"-")</f>
        <v>0</v>
      </c>
      <c r="O78" s="298">
        <f>IFERROR(ROUND(IF('Состав ВТК'!$K71=справочник!$A$5,(IF(AND($A78='Состав ВТК'!$B71,$O$10=$C78),$F78*$D78*VLOOKUP($B78,Расценка!$H$3:$K$9,4,FALSE),0)),0),2),"-")</f>
        <v>0</v>
      </c>
      <c r="P78" s="299">
        <f t="shared" si="11"/>
        <v>0</v>
      </c>
      <c r="Q78" s="300">
        <f t="shared" si="4"/>
        <v>0</v>
      </c>
      <c r="R78" s="300">
        <f t="shared" si="5"/>
        <v>0</v>
      </c>
      <c r="S78" s="295">
        <f t="shared" si="6"/>
        <v>0</v>
      </c>
      <c r="T78" s="298">
        <f>IFERROR(ROUND(IF(AND('Расчет участников НИР'!$A78='Состав ВТК'!$B71,'Расчет участников НИР'!$T$10='Состав ВТК'!$I71),$E78,0),2),"-")</f>
        <v>0</v>
      </c>
      <c r="U78" s="298">
        <f>IFERROR(ROUND(IF(AND('Расчет участников НИР'!$A78='Состав ВТК'!$B71,'Расчет участников НИР'!$U$10='Состав ВТК'!$I71),$E78,0),2),"-")</f>
        <v>0</v>
      </c>
      <c r="V78" s="298">
        <f>IFERROR(ROUND(IF(AND('Расчет участников НИР'!$A78='Состав ВТК'!$B71,'Расчет участников НИР'!$V$10='Состав ВТК'!$I71),$E78,0),2),"-")</f>
        <v>0</v>
      </c>
      <c r="W78" s="301" t="str">
        <f t="shared" si="7"/>
        <v>-</v>
      </c>
      <c r="X78" s="301" t="str">
        <f t="shared" si="8"/>
        <v>-</v>
      </c>
      <c r="Y78" s="301" t="str">
        <f t="shared" si="9"/>
        <v>-</v>
      </c>
    </row>
    <row r="79" spans="1:25" x14ac:dyDescent="0.25">
      <c r="A79" s="217">
        <f>'Состав ВТК'!B72</f>
        <v>0</v>
      </c>
      <c r="B79" s="290">
        <f>IFERROR(VLOOKUP($A79,Распределение!$B$13:$L$113,11,FALSE),"-")</f>
        <v>0</v>
      </c>
      <c r="C79" s="291" t="str">
        <f>IFERROR(IF(VLOOKUP($B79,Расценка!$H$3:$I$9,2,FALSE)="НС",Расценка!$T$11,Расценка!$T$12),"-")</f>
        <v>-</v>
      </c>
      <c r="D79" s="291">
        <f>IFERROR(INDEX(Распределение!$1:$1048576,MATCH($A79,Распределение!$B:$B,0),MATCH($D$8,Распределение!$9:$9,0)),"---")</f>
        <v>0</v>
      </c>
      <c r="E79" s="292">
        <f>IFERROR(SUMIFS('Трудозатраты членов ВТК'!$G$17:$G$117,'Трудозатраты членов ВТК'!$D$17:$D$117,A:A),"-")</f>
        <v>0</v>
      </c>
      <c r="F79" s="293">
        <f>IFERROR(SUMIFS('Трудозатраты членов ВТК'!$F$464:$F$713,'Трудозатраты членов ВТК'!$D$464:$D$713,A:A),"-")</f>
        <v>0</v>
      </c>
      <c r="G79" s="302"/>
      <c r="H79" s="295">
        <f t="shared" si="10"/>
        <v>0</v>
      </c>
      <c r="I79" s="296">
        <f>IFERROR(ROUND(IF('Состав ВТК'!$K72=справочник!$A$5,IF(AND('Расчет участников НИР'!$A79='Состав ВТК'!$B72,$I$10='Состав ВТК'!$I72),$F79*$D79*VLOOKUP('Расчет участников НИР'!$B79,Расценка!$C$3:$E$13,3,FALSE),0),0),2),"-")</f>
        <v>0</v>
      </c>
      <c r="J79" s="296">
        <f>IFERROR(ROUND(IF('Состав ВТК'!$K72=справочник!$A$5,IF(AND('Расчет участников НИР'!$A79='Состав ВТК'!$B72,$J$10='Состав ВТК'!$I72),$F79*$D79*VLOOKUP('Расчет участников НИР'!$B79,Расценка!$C$3:$E$13,3,FALSE),0),0),2),"-")</f>
        <v>0</v>
      </c>
      <c r="K79" s="296">
        <f>IFERROR(ROUND(IF('Состав ВТК'!$K72=справочник!$A$5,IF(AND('Расчет участников НИР'!$A79='Состав ВТК'!$B72,$K$10='Состав ВТК'!$I72),$F79*$D79*VLOOKUP('Расчет участников НИР'!$B79,Расценка!$C$3:$E$13,3,FALSE),0),0),2),"-")</f>
        <v>0</v>
      </c>
      <c r="L79" s="297"/>
      <c r="M79" s="295">
        <f t="shared" si="3"/>
        <v>0</v>
      </c>
      <c r="N79" s="298">
        <f>IFERROR(ROUND(IF('Состав ВТК'!$K72=справочник!$A$5,(IF(AND($A79='Состав ВТК'!$B72,$N$10=$C79),$F79*$D79*VLOOKUP($B79,Расценка!$H$3:$K$9,4,FALSE),0)),0),2),"-")</f>
        <v>0</v>
      </c>
      <c r="O79" s="298">
        <f>IFERROR(ROUND(IF('Состав ВТК'!$K72=справочник!$A$5,(IF(AND($A79='Состав ВТК'!$B72,$O$10=$C79),$F79*$D79*VLOOKUP($B79,Расценка!$H$3:$K$9,4,FALSE),0)),0),2),"-")</f>
        <v>0</v>
      </c>
      <c r="P79" s="299">
        <f t="shared" si="11"/>
        <v>0</v>
      </c>
      <c r="Q79" s="300">
        <f t="shared" si="4"/>
        <v>0</v>
      </c>
      <c r="R79" s="300">
        <f t="shared" si="5"/>
        <v>0</v>
      </c>
      <c r="S79" s="295">
        <f t="shared" si="6"/>
        <v>0</v>
      </c>
      <c r="T79" s="298">
        <f>IFERROR(ROUND(IF(AND('Расчет участников НИР'!$A79='Состав ВТК'!$B72,'Расчет участников НИР'!$T$10='Состав ВТК'!$I72),$E79,0),2),"-")</f>
        <v>0</v>
      </c>
      <c r="U79" s="298">
        <f>IFERROR(ROUND(IF(AND('Расчет участников НИР'!$A79='Состав ВТК'!$B72,'Расчет участников НИР'!$U$10='Состав ВТК'!$I72),$E79,0),2),"-")</f>
        <v>0</v>
      </c>
      <c r="V79" s="298">
        <f>IFERROR(ROUND(IF(AND('Расчет участников НИР'!$A79='Состав ВТК'!$B72,'Расчет участников НИР'!$V$10='Состав ВТК'!$I72),$E79,0),2),"-")</f>
        <v>0</v>
      </c>
      <c r="W79" s="301" t="str">
        <f t="shared" si="7"/>
        <v>-</v>
      </c>
      <c r="X79" s="301" t="str">
        <f t="shared" si="8"/>
        <v>-</v>
      </c>
      <c r="Y79" s="301" t="str">
        <f t="shared" si="9"/>
        <v>-</v>
      </c>
    </row>
    <row r="80" spans="1:25" x14ac:dyDescent="0.25">
      <c r="A80" s="217">
        <f>'Состав ВТК'!B73</f>
        <v>0</v>
      </c>
      <c r="B80" s="290">
        <f>IFERROR(VLOOKUP($A80,Распределение!$B$13:$L$113,11,FALSE),"-")</f>
        <v>0</v>
      </c>
      <c r="C80" s="291" t="str">
        <f>IFERROR(IF(VLOOKUP($B80,Расценка!$H$3:$I$9,2,FALSE)="НС",Расценка!$T$11,Расценка!$T$12),"-")</f>
        <v>-</v>
      </c>
      <c r="D80" s="291">
        <f>IFERROR(INDEX(Распределение!$1:$1048576,MATCH($A80,Распределение!$B:$B,0),MATCH($D$8,Распределение!$9:$9,0)),"---")</f>
        <v>0</v>
      </c>
      <c r="E80" s="292">
        <f>IFERROR(SUMIFS('Трудозатраты членов ВТК'!$G$17:$G$117,'Трудозатраты членов ВТК'!$D$17:$D$117,A:A),"-")</f>
        <v>0</v>
      </c>
      <c r="F80" s="293">
        <f>IFERROR(SUMIFS('Трудозатраты членов ВТК'!$F$464:$F$713,'Трудозатраты членов ВТК'!$D$464:$D$713,A:A),"-")</f>
        <v>0</v>
      </c>
      <c r="G80" s="302"/>
      <c r="H80" s="295">
        <f t="shared" si="10"/>
        <v>0</v>
      </c>
      <c r="I80" s="296">
        <f>IFERROR(ROUND(IF('Состав ВТК'!$K73=справочник!$A$5,IF(AND('Расчет участников НИР'!$A80='Состав ВТК'!$B73,$I$10='Состав ВТК'!$I73),$F80*$D80*VLOOKUP('Расчет участников НИР'!$B80,Расценка!$C$3:$E$13,3,FALSE),0),0),2),"-")</f>
        <v>0</v>
      </c>
      <c r="J80" s="296">
        <f>IFERROR(ROUND(IF('Состав ВТК'!$K73=справочник!$A$5,IF(AND('Расчет участников НИР'!$A80='Состав ВТК'!$B73,$J$10='Состав ВТК'!$I73),$F80*$D80*VLOOKUP('Расчет участников НИР'!$B80,Расценка!$C$3:$E$13,3,FALSE),0),0),2),"-")</f>
        <v>0</v>
      </c>
      <c r="K80" s="296">
        <f>IFERROR(ROUND(IF('Состав ВТК'!$K73=справочник!$A$5,IF(AND('Расчет участников НИР'!$A80='Состав ВТК'!$B73,$K$10='Состав ВТК'!$I73),$F80*$D80*VLOOKUP('Расчет участников НИР'!$B80,Расценка!$C$3:$E$13,3,FALSE),0),0),2),"-")</f>
        <v>0</v>
      </c>
      <c r="L80" s="297"/>
      <c r="M80" s="295">
        <f t="shared" si="3"/>
        <v>0</v>
      </c>
      <c r="N80" s="298">
        <f>IFERROR(ROUND(IF('Состав ВТК'!$K73=справочник!$A$5,(IF(AND($A80='Состав ВТК'!$B73,$N$10=$C80),$F80*$D80*VLOOKUP($B80,Расценка!$H$3:$K$9,4,FALSE),0)),0),2),"-")</f>
        <v>0</v>
      </c>
      <c r="O80" s="298">
        <f>IFERROR(ROUND(IF('Состав ВТК'!$K73=справочник!$A$5,(IF(AND($A80='Состав ВТК'!$B73,$O$10=$C80),$F80*$D80*VLOOKUP($B80,Расценка!$H$3:$K$9,4,FALSE),0)),0),2),"-")</f>
        <v>0</v>
      </c>
      <c r="P80" s="299">
        <f t="shared" si="11"/>
        <v>0</v>
      </c>
      <c r="Q80" s="300">
        <f t="shared" si="4"/>
        <v>0</v>
      </c>
      <c r="R80" s="300">
        <f t="shared" si="5"/>
        <v>0</v>
      </c>
      <c r="S80" s="295">
        <f t="shared" si="6"/>
        <v>0</v>
      </c>
      <c r="T80" s="298">
        <f>IFERROR(ROUND(IF(AND('Расчет участников НИР'!$A80='Состав ВТК'!$B73,'Расчет участников НИР'!$T$10='Состав ВТК'!$I73),$E80,0),2),"-")</f>
        <v>0</v>
      </c>
      <c r="U80" s="298">
        <f>IFERROR(ROUND(IF(AND('Расчет участников НИР'!$A80='Состав ВТК'!$B73,'Расчет участников НИР'!$U$10='Состав ВТК'!$I73),$E80,0),2),"-")</f>
        <v>0</v>
      </c>
      <c r="V80" s="298">
        <f>IFERROR(ROUND(IF(AND('Расчет участников НИР'!$A80='Состав ВТК'!$B73,'Расчет участников НИР'!$V$10='Состав ВТК'!$I73),$E80,0),2),"-")</f>
        <v>0</v>
      </c>
      <c r="W80" s="301" t="str">
        <f t="shared" si="7"/>
        <v>-</v>
      </c>
      <c r="X80" s="301" t="str">
        <f t="shared" si="8"/>
        <v>-</v>
      </c>
      <c r="Y80" s="301" t="str">
        <f t="shared" si="9"/>
        <v>-</v>
      </c>
    </row>
    <row r="81" spans="1:25" x14ac:dyDescent="0.25">
      <c r="A81" s="217">
        <f>'Состав ВТК'!B74</f>
        <v>0</v>
      </c>
      <c r="B81" s="290">
        <f>IFERROR(VLOOKUP($A81,Распределение!$B$13:$L$113,11,FALSE),"-")</f>
        <v>0</v>
      </c>
      <c r="C81" s="291" t="str">
        <f>IFERROR(IF(VLOOKUP($B81,Расценка!$H$3:$I$9,2,FALSE)="НС",Расценка!$T$11,Расценка!$T$12),"-")</f>
        <v>-</v>
      </c>
      <c r="D81" s="291">
        <f>IFERROR(INDEX(Распределение!$1:$1048576,MATCH($A81,Распределение!$B:$B,0),MATCH($D$8,Распределение!$9:$9,0)),"---")</f>
        <v>0</v>
      </c>
      <c r="E81" s="292">
        <f>IFERROR(SUMIFS('Трудозатраты членов ВТК'!$G$17:$G$117,'Трудозатраты членов ВТК'!$D$17:$D$117,A:A),"-")</f>
        <v>0</v>
      </c>
      <c r="F81" s="293">
        <f>IFERROR(SUMIFS('Трудозатраты членов ВТК'!$F$464:$F$713,'Трудозатраты членов ВТК'!$D$464:$D$713,A:A),"-")</f>
        <v>0</v>
      </c>
      <c r="G81" s="302"/>
      <c r="H81" s="295">
        <f t="shared" ref="H81:H110" si="12">SUM(I81:K81)</f>
        <v>0</v>
      </c>
      <c r="I81" s="296">
        <f>IFERROR(ROUND(IF('Состав ВТК'!$K74=справочник!$A$5,IF(AND('Расчет участников НИР'!$A81='Состав ВТК'!$B74,$I$10='Состав ВТК'!$I74),$F81*$D81*VLOOKUP('Расчет участников НИР'!$B81,Расценка!$C$3:$E$13,3,FALSE),0),0),2),"-")</f>
        <v>0</v>
      </c>
      <c r="J81" s="296">
        <f>IFERROR(ROUND(IF('Состав ВТК'!$K74=справочник!$A$5,IF(AND('Расчет участников НИР'!$A81='Состав ВТК'!$B74,$J$10='Состав ВТК'!$I74),$F81*$D81*VLOOKUP('Расчет участников НИР'!$B81,Расценка!$C$3:$E$13,3,FALSE),0),0),2),"-")</f>
        <v>0</v>
      </c>
      <c r="K81" s="296">
        <f>IFERROR(ROUND(IF('Состав ВТК'!$K74=справочник!$A$5,IF(AND('Расчет участников НИР'!$A81='Состав ВТК'!$B74,$K$10='Состав ВТК'!$I74),$F81*$D81*VLOOKUP('Расчет участников НИР'!$B81,Расценка!$C$3:$E$13,3,FALSE),0),0),2),"-")</f>
        <v>0</v>
      </c>
      <c r="L81" s="297"/>
      <c r="M81" s="295">
        <f t="shared" ref="M81:M110" si="13">SUM(N81:O81)</f>
        <v>0</v>
      </c>
      <c r="N81" s="298">
        <f>IFERROR(ROUND(IF('Состав ВТК'!$K74=справочник!$A$5,(IF(AND($A81='Состав ВТК'!$B74,$N$10=$C81),$F81*$D81*VLOOKUP($B81,Расценка!$H$3:$K$9,4,FALSE),0)),0),2),"-")</f>
        <v>0</v>
      </c>
      <c r="O81" s="298">
        <f>IFERROR(ROUND(IF('Состав ВТК'!$K74=справочник!$A$5,(IF(AND($A81='Состав ВТК'!$B74,$O$10=$C81),$F81*$D81*VLOOKUP($B81,Расценка!$H$3:$K$9,4,FALSE),0)),0),2),"-")</f>
        <v>0</v>
      </c>
      <c r="P81" s="299">
        <f t="shared" ref="P81:P110" si="14">H81-M81</f>
        <v>0</v>
      </c>
      <c r="Q81" s="300">
        <f t="shared" ref="Q81:Q144" si="15">ROUND($P81*$Q$13,2)</f>
        <v>0</v>
      </c>
      <c r="R81" s="300">
        <f t="shared" ref="R81:R144" si="16">ROUND($P81*$R$13,2)</f>
        <v>0</v>
      </c>
      <c r="S81" s="295">
        <f t="shared" ref="S81:S110" si="17">SUM(T81:V81)</f>
        <v>0</v>
      </c>
      <c r="T81" s="298">
        <f>IFERROR(ROUND(IF(AND('Расчет участников НИР'!$A81='Состав ВТК'!$B74,'Расчет участников НИР'!$T$10='Состав ВТК'!$I74),$E81,0),2),"-")</f>
        <v>0</v>
      </c>
      <c r="U81" s="298">
        <f>IFERROR(ROUND(IF(AND('Расчет участников НИР'!$A81='Состав ВТК'!$B74,'Расчет участников НИР'!$U$10='Состав ВТК'!$I74),$E81,0),2),"-")</f>
        <v>0</v>
      </c>
      <c r="V81" s="298">
        <f>IFERROR(ROUND(IF(AND('Расчет участников НИР'!$A81='Состав ВТК'!$B74,'Расчет участников НИР'!$V$10='Состав ВТК'!$I74),$E81,0),2),"-")</f>
        <v>0</v>
      </c>
      <c r="W81" s="301" t="str">
        <f t="shared" ref="W81:W110" si="18">IFERROR(T81/$S81,"-")</f>
        <v>-</v>
      </c>
      <c r="X81" s="301" t="str">
        <f t="shared" ref="X81:X110" si="19">IFERROR(U81/$S81,"-")</f>
        <v>-</v>
      </c>
      <c r="Y81" s="301" t="str">
        <f t="shared" ref="Y81:Y110" si="20">IFERROR(V81/$S81,"-")</f>
        <v>-</v>
      </c>
    </row>
    <row r="82" spans="1:25" x14ac:dyDescent="0.25">
      <c r="A82" s="217">
        <f>'Состав ВТК'!B75</f>
        <v>0</v>
      </c>
      <c r="B82" s="290">
        <f>IFERROR(VLOOKUP($A82,Распределение!$B$13:$L$113,11,FALSE),"-")</f>
        <v>0</v>
      </c>
      <c r="C82" s="291" t="str">
        <f>IFERROR(IF(VLOOKUP($B82,Расценка!$H$3:$I$9,2,FALSE)="НС",Расценка!$T$11,Расценка!$T$12),"-")</f>
        <v>-</v>
      </c>
      <c r="D82" s="291">
        <f>IFERROR(INDEX(Распределение!$1:$1048576,MATCH($A82,Распределение!$B:$B,0),MATCH($D$8,Распределение!$9:$9,0)),"---")</f>
        <v>0</v>
      </c>
      <c r="E82" s="292">
        <f>IFERROR(SUMIFS('Трудозатраты членов ВТК'!$G$17:$G$117,'Трудозатраты членов ВТК'!$D$17:$D$117,A:A),"-")</f>
        <v>0</v>
      </c>
      <c r="F82" s="293">
        <f>IFERROR(SUMIFS('Трудозатраты членов ВТК'!$F$464:$F$713,'Трудозатраты членов ВТК'!$D$464:$D$713,A:A),"-")</f>
        <v>0</v>
      </c>
      <c r="G82" s="302"/>
      <c r="H82" s="295">
        <f t="shared" si="12"/>
        <v>0</v>
      </c>
      <c r="I82" s="296">
        <f>IFERROR(ROUND(IF('Состав ВТК'!$K75=справочник!$A$5,IF(AND('Расчет участников НИР'!$A82='Состав ВТК'!$B75,$I$10='Состав ВТК'!$I75),$F82*$D82*VLOOKUP('Расчет участников НИР'!$B82,Расценка!$C$3:$E$13,3,FALSE),0),0),2),"-")</f>
        <v>0</v>
      </c>
      <c r="J82" s="296">
        <f>IFERROR(ROUND(IF('Состав ВТК'!$K75=справочник!$A$5,IF(AND('Расчет участников НИР'!$A82='Состав ВТК'!$B75,$J$10='Состав ВТК'!$I75),$F82*$D82*VLOOKUP('Расчет участников НИР'!$B82,Расценка!$C$3:$E$13,3,FALSE),0),0),2),"-")</f>
        <v>0</v>
      </c>
      <c r="K82" s="296">
        <f>IFERROR(ROUND(IF('Состав ВТК'!$K75=справочник!$A$5,IF(AND('Расчет участников НИР'!$A82='Состав ВТК'!$B75,$K$10='Состав ВТК'!$I75),$F82*$D82*VLOOKUP('Расчет участников НИР'!$B82,Расценка!$C$3:$E$13,3,FALSE),0),0),2),"-")</f>
        <v>0</v>
      </c>
      <c r="L82" s="297"/>
      <c r="M82" s="295">
        <f t="shared" si="13"/>
        <v>0</v>
      </c>
      <c r="N82" s="298">
        <f>IFERROR(ROUND(IF('Состав ВТК'!$K75=справочник!$A$5,(IF(AND($A82='Состав ВТК'!$B75,$N$10=$C82),$F82*$D82*VLOOKUP($B82,Расценка!$H$3:$K$9,4,FALSE),0)),0),2),"-")</f>
        <v>0</v>
      </c>
      <c r="O82" s="298">
        <f>IFERROR(ROUND(IF('Состав ВТК'!$K75=справочник!$A$5,(IF(AND($A82='Состав ВТК'!$B75,$O$10=$C82),$F82*$D82*VLOOKUP($B82,Расценка!$H$3:$K$9,4,FALSE),0)),0),2),"-")</f>
        <v>0</v>
      </c>
      <c r="P82" s="299">
        <f t="shared" si="14"/>
        <v>0</v>
      </c>
      <c r="Q82" s="300">
        <f t="shared" si="15"/>
        <v>0</v>
      </c>
      <c r="R82" s="300">
        <f t="shared" si="16"/>
        <v>0</v>
      </c>
      <c r="S82" s="295">
        <f t="shared" si="17"/>
        <v>0</v>
      </c>
      <c r="T82" s="298">
        <f>IFERROR(ROUND(IF(AND('Расчет участников НИР'!$A82='Состав ВТК'!$B75,'Расчет участников НИР'!$T$10='Состав ВТК'!$I75),$E82,0),2),"-")</f>
        <v>0</v>
      </c>
      <c r="U82" s="298">
        <f>IFERROR(ROUND(IF(AND('Расчет участников НИР'!$A82='Состав ВТК'!$B75,'Расчет участников НИР'!$U$10='Состав ВТК'!$I75),$E82,0),2),"-")</f>
        <v>0</v>
      </c>
      <c r="V82" s="298">
        <f>IFERROR(ROUND(IF(AND('Расчет участников НИР'!$A82='Состав ВТК'!$B75,'Расчет участников НИР'!$V$10='Состав ВТК'!$I75),$E82,0),2),"-")</f>
        <v>0</v>
      </c>
      <c r="W82" s="301" t="str">
        <f t="shared" si="18"/>
        <v>-</v>
      </c>
      <c r="X82" s="301" t="str">
        <f t="shared" si="19"/>
        <v>-</v>
      </c>
      <c r="Y82" s="301" t="str">
        <f t="shared" si="20"/>
        <v>-</v>
      </c>
    </row>
    <row r="83" spans="1:25" x14ac:dyDescent="0.25">
      <c r="A83" s="217">
        <f>'Состав ВТК'!B76</f>
        <v>0</v>
      </c>
      <c r="B83" s="290">
        <f>IFERROR(VLOOKUP($A83,Распределение!$B$13:$L$113,11,FALSE),"-")</f>
        <v>0</v>
      </c>
      <c r="C83" s="291" t="str">
        <f>IFERROR(IF(VLOOKUP($B83,Расценка!$H$3:$I$9,2,FALSE)="НС",Расценка!$T$11,Расценка!$T$12),"-")</f>
        <v>-</v>
      </c>
      <c r="D83" s="291">
        <f>IFERROR(INDEX(Распределение!$1:$1048576,MATCH($A83,Распределение!$B:$B,0),MATCH($D$8,Распределение!$9:$9,0)),"---")</f>
        <v>0</v>
      </c>
      <c r="E83" s="292">
        <f>IFERROR(SUMIFS('Трудозатраты членов ВТК'!$G$17:$G$117,'Трудозатраты членов ВТК'!$D$17:$D$117,A:A),"-")</f>
        <v>0</v>
      </c>
      <c r="F83" s="293">
        <f>IFERROR(SUMIFS('Трудозатраты членов ВТК'!$F$464:$F$713,'Трудозатраты членов ВТК'!$D$464:$D$713,A:A),"-")</f>
        <v>0</v>
      </c>
      <c r="G83" s="302"/>
      <c r="H83" s="295">
        <f t="shared" si="12"/>
        <v>0</v>
      </c>
      <c r="I83" s="296">
        <f>IFERROR(ROUND(IF('Состав ВТК'!$K76=справочник!$A$5,IF(AND('Расчет участников НИР'!$A83='Состав ВТК'!$B76,$I$10='Состав ВТК'!$I76),$F83*$D83*VLOOKUP('Расчет участников НИР'!$B83,Расценка!$C$3:$E$13,3,FALSE),0),0),2),"-")</f>
        <v>0</v>
      </c>
      <c r="J83" s="296">
        <f>IFERROR(ROUND(IF('Состав ВТК'!$K76=справочник!$A$5,IF(AND('Расчет участников НИР'!$A83='Состав ВТК'!$B76,$J$10='Состав ВТК'!$I76),$F83*$D83*VLOOKUP('Расчет участников НИР'!$B83,Расценка!$C$3:$E$13,3,FALSE),0),0),2),"-")</f>
        <v>0</v>
      </c>
      <c r="K83" s="296">
        <f>IFERROR(ROUND(IF('Состав ВТК'!$K76=справочник!$A$5,IF(AND('Расчет участников НИР'!$A83='Состав ВТК'!$B76,$K$10='Состав ВТК'!$I76),$F83*$D83*VLOOKUP('Расчет участников НИР'!$B83,Расценка!$C$3:$E$13,3,FALSE),0),0),2),"-")</f>
        <v>0</v>
      </c>
      <c r="L83" s="297"/>
      <c r="M83" s="295">
        <f t="shared" si="13"/>
        <v>0</v>
      </c>
      <c r="N83" s="298">
        <f>IFERROR(ROUND(IF('Состав ВТК'!$K76=справочник!$A$5,(IF(AND($A83='Состав ВТК'!$B76,$N$10=$C83),$F83*$D83*VLOOKUP($B83,Расценка!$H$3:$K$9,4,FALSE),0)),0),2),"-")</f>
        <v>0</v>
      </c>
      <c r="O83" s="298">
        <f>IFERROR(ROUND(IF('Состав ВТК'!$K76=справочник!$A$5,(IF(AND($A83='Состав ВТК'!$B76,$O$10=$C83),$F83*$D83*VLOOKUP($B83,Расценка!$H$3:$K$9,4,FALSE),0)),0),2),"-")</f>
        <v>0</v>
      </c>
      <c r="P83" s="299">
        <f t="shared" si="14"/>
        <v>0</v>
      </c>
      <c r="Q83" s="300">
        <f t="shared" si="15"/>
        <v>0</v>
      </c>
      <c r="R83" s="300">
        <f t="shared" si="16"/>
        <v>0</v>
      </c>
      <c r="S83" s="295">
        <f t="shared" si="17"/>
        <v>0</v>
      </c>
      <c r="T83" s="298">
        <f>IFERROR(ROUND(IF(AND('Расчет участников НИР'!$A83='Состав ВТК'!$B76,'Расчет участников НИР'!$T$10='Состав ВТК'!$I76),$E83,0),2),"-")</f>
        <v>0</v>
      </c>
      <c r="U83" s="298">
        <f>IFERROR(ROUND(IF(AND('Расчет участников НИР'!$A83='Состав ВТК'!$B76,'Расчет участников НИР'!$U$10='Состав ВТК'!$I76),$E83,0),2),"-")</f>
        <v>0</v>
      </c>
      <c r="V83" s="298">
        <f>IFERROR(ROUND(IF(AND('Расчет участников НИР'!$A83='Состав ВТК'!$B76,'Расчет участников НИР'!$V$10='Состав ВТК'!$I76),$E83,0),2),"-")</f>
        <v>0</v>
      </c>
      <c r="W83" s="301" t="str">
        <f t="shared" si="18"/>
        <v>-</v>
      </c>
      <c r="X83" s="301" t="str">
        <f t="shared" si="19"/>
        <v>-</v>
      </c>
      <c r="Y83" s="301" t="str">
        <f t="shared" si="20"/>
        <v>-</v>
      </c>
    </row>
    <row r="84" spans="1:25" x14ac:dyDescent="0.25">
      <c r="A84" s="217">
        <f>'Состав ВТК'!B77</f>
        <v>0</v>
      </c>
      <c r="B84" s="290">
        <f>IFERROR(VLOOKUP($A84,Распределение!$B$13:$L$113,11,FALSE),"-")</f>
        <v>0</v>
      </c>
      <c r="C84" s="291" t="str">
        <f>IFERROR(IF(VLOOKUP($B84,Расценка!$H$3:$I$9,2,FALSE)="НС",Расценка!$T$11,Расценка!$T$12),"-")</f>
        <v>-</v>
      </c>
      <c r="D84" s="291">
        <f>IFERROR(INDEX(Распределение!$1:$1048576,MATCH($A84,Распределение!$B:$B,0),MATCH($D$8,Распределение!$9:$9,0)),"---")</f>
        <v>0</v>
      </c>
      <c r="E84" s="292">
        <f>IFERROR(SUMIFS('Трудозатраты членов ВТК'!$G$17:$G$117,'Трудозатраты членов ВТК'!$D$17:$D$117,A:A),"-")</f>
        <v>0</v>
      </c>
      <c r="F84" s="293">
        <f>IFERROR(SUMIFS('Трудозатраты членов ВТК'!$F$464:$F$713,'Трудозатраты членов ВТК'!$D$464:$D$713,A:A),"-")</f>
        <v>0</v>
      </c>
      <c r="G84" s="302"/>
      <c r="H84" s="295">
        <f t="shared" si="12"/>
        <v>0</v>
      </c>
      <c r="I84" s="296">
        <f>IFERROR(ROUND(IF('Состав ВТК'!$K77=справочник!$A$5,IF(AND('Расчет участников НИР'!$A84='Состав ВТК'!$B77,$I$10='Состав ВТК'!$I77),$F84*$D84*VLOOKUP('Расчет участников НИР'!$B84,Расценка!$C$3:$E$13,3,FALSE),0),0),2),"-")</f>
        <v>0</v>
      </c>
      <c r="J84" s="296">
        <f>IFERROR(ROUND(IF('Состав ВТК'!$K77=справочник!$A$5,IF(AND('Расчет участников НИР'!$A84='Состав ВТК'!$B77,$J$10='Состав ВТК'!$I77),$F84*$D84*VLOOKUP('Расчет участников НИР'!$B84,Расценка!$C$3:$E$13,3,FALSE),0),0),2),"-")</f>
        <v>0</v>
      </c>
      <c r="K84" s="296">
        <f>IFERROR(ROUND(IF('Состав ВТК'!$K77=справочник!$A$5,IF(AND('Расчет участников НИР'!$A84='Состав ВТК'!$B77,$K$10='Состав ВТК'!$I77),$F84*$D84*VLOOKUP('Расчет участников НИР'!$B84,Расценка!$C$3:$E$13,3,FALSE),0),0),2),"-")</f>
        <v>0</v>
      </c>
      <c r="L84" s="297"/>
      <c r="M84" s="295">
        <f t="shared" si="13"/>
        <v>0</v>
      </c>
      <c r="N84" s="298">
        <f>IFERROR(ROUND(IF('Состав ВТК'!$K77=справочник!$A$5,(IF(AND($A84='Состав ВТК'!$B77,$N$10=$C84),$F84*$D84*VLOOKUP($B84,Расценка!$H$3:$K$9,4,FALSE),0)),0),2),"-")</f>
        <v>0</v>
      </c>
      <c r="O84" s="298">
        <f>IFERROR(ROUND(IF('Состав ВТК'!$K77=справочник!$A$5,(IF(AND($A84='Состав ВТК'!$B77,$O$10=$C84),$F84*$D84*VLOOKUP($B84,Расценка!$H$3:$K$9,4,FALSE),0)),0),2),"-")</f>
        <v>0</v>
      </c>
      <c r="P84" s="299">
        <f t="shared" si="14"/>
        <v>0</v>
      </c>
      <c r="Q84" s="300">
        <f t="shared" si="15"/>
        <v>0</v>
      </c>
      <c r="R84" s="300">
        <f t="shared" si="16"/>
        <v>0</v>
      </c>
      <c r="S84" s="295">
        <f t="shared" si="17"/>
        <v>0</v>
      </c>
      <c r="T84" s="298">
        <f>IFERROR(ROUND(IF(AND('Расчет участников НИР'!$A84='Состав ВТК'!$B77,'Расчет участников НИР'!$T$10='Состав ВТК'!$I77),$E84,0),2),"-")</f>
        <v>0</v>
      </c>
      <c r="U84" s="298">
        <f>IFERROR(ROUND(IF(AND('Расчет участников НИР'!$A84='Состав ВТК'!$B77,'Расчет участников НИР'!$U$10='Состав ВТК'!$I77),$E84,0),2),"-")</f>
        <v>0</v>
      </c>
      <c r="V84" s="298">
        <f>IFERROR(ROUND(IF(AND('Расчет участников НИР'!$A84='Состав ВТК'!$B77,'Расчет участников НИР'!$V$10='Состав ВТК'!$I77),$E84,0),2),"-")</f>
        <v>0</v>
      </c>
      <c r="W84" s="301" t="str">
        <f t="shared" si="18"/>
        <v>-</v>
      </c>
      <c r="X84" s="301" t="str">
        <f t="shared" si="19"/>
        <v>-</v>
      </c>
      <c r="Y84" s="301" t="str">
        <f t="shared" si="20"/>
        <v>-</v>
      </c>
    </row>
    <row r="85" spans="1:25" x14ac:dyDescent="0.25">
      <c r="A85" s="217">
        <f>'Состав ВТК'!B78</f>
        <v>0</v>
      </c>
      <c r="B85" s="290">
        <f>IFERROR(VLOOKUP($A85,Распределение!$B$13:$L$113,11,FALSE),"-")</f>
        <v>0</v>
      </c>
      <c r="C85" s="291" t="str">
        <f>IFERROR(IF(VLOOKUP($B85,Расценка!$H$3:$I$9,2,FALSE)="НС",Расценка!$T$11,Расценка!$T$12),"-")</f>
        <v>-</v>
      </c>
      <c r="D85" s="291">
        <f>IFERROR(INDEX(Распределение!$1:$1048576,MATCH($A85,Распределение!$B:$B,0),MATCH($D$8,Распределение!$9:$9,0)),"---")</f>
        <v>0</v>
      </c>
      <c r="E85" s="292">
        <f>IFERROR(SUMIFS('Трудозатраты членов ВТК'!$G$17:$G$117,'Трудозатраты членов ВТК'!$D$17:$D$117,A:A),"-")</f>
        <v>0</v>
      </c>
      <c r="F85" s="293">
        <f>IFERROR(SUMIFS('Трудозатраты членов ВТК'!$F$464:$F$713,'Трудозатраты членов ВТК'!$D$464:$D$713,A:A),"-")</f>
        <v>0</v>
      </c>
      <c r="G85" s="302"/>
      <c r="H85" s="295">
        <f t="shared" si="12"/>
        <v>0</v>
      </c>
      <c r="I85" s="296">
        <f>IFERROR(ROUND(IF('Состав ВТК'!$K78=справочник!$A$5,IF(AND('Расчет участников НИР'!$A85='Состав ВТК'!$B78,$I$10='Состав ВТК'!$I78),$F85*$D85*VLOOKUP('Расчет участников НИР'!$B85,Расценка!$C$3:$E$13,3,FALSE),0),0),2),"-")</f>
        <v>0</v>
      </c>
      <c r="J85" s="296">
        <f>IFERROR(ROUND(IF('Состав ВТК'!$K78=справочник!$A$5,IF(AND('Расчет участников НИР'!$A85='Состав ВТК'!$B78,$J$10='Состав ВТК'!$I78),$F85*$D85*VLOOKUP('Расчет участников НИР'!$B85,Расценка!$C$3:$E$13,3,FALSE),0),0),2),"-")</f>
        <v>0</v>
      </c>
      <c r="K85" s="296">
        <f>IFERROR(ROUND(IF('Состав ВТК'!$K78=справочник!$A$5,IF(AND('Расчет участников НИР'!$A85='Состав ВТК'!$B78,$K$10='Состав ВТК'!$I78),$F85*$D85*VLOOKUP('Расчет участников НИР'!$B85,Расценка!$C$3:$E$13,3,FALSE),0),0),2),"-")</f>
        <v>0</v>
      </c>
      <c r="L85" s="297"/>
      <c r="M85" s="295">
        <f t="shared" si="13"/>
        <v>0</v>
      </c>
      <c r="N85" s="298">
        <f>IFERROR(ROUND(IF('Состав ВТК'!$K78=справочник!$A$5,(IF(AND($A85='Состав ВТК'!$B78,$N$10=$C85),$F85*$D85*VLOOKUP($B85,Расценка!$H$3:$K$9,4,FALSE),0)),0),2),"-")</f>
        <v>0</v>
      </c>
      <c r="O85" s="298">
        <f>IFERROR(ROUND(IF('Состав ВТК'!$K78=справочник!$A$5,(IF(AND($A85='Состав ВТК'!$B78,$O$10=$C85),$F85*$D85*VLOOKUP($B85,Расценка!$H$3:$K$9,4,FALSE),0)),0),2),"-")</f>
        <v>0</v>
      </c>
      <c r="P85" s="299">
        <f t="shared" si="14"/>
        <v>0</v>
      </c>
      <c r="Q85" s="300">
        <f t="shared" si="15"/>
        <v>0</v>
      </c>
      <c r="R85" s="300">
        <f t="shared" si="16"/>
        <v>0</v>
      </c>
      <c r="S85" s="295">
        <f t="shared" si="17"/>
        <v>0</v>
      </c>
      <c r="T85" s="298">
        <f>IFERROR(ROUND(IF(AND('Расчет участников НИР'!$A85='Состав ВТК'!$B78,'Расчет участников НИР'!$T$10='Состав ВТК'!$I78),$E85,0),2),"-")</f>
        <v>0</v>
      </c>
      <c r="U85" s="298">
        <f>IFERROR(ROUND(IF(AND('Расчет участников НИР'!$A85='Состав ВТК'!$B78,'Расчет участников НИР'!$U$10='Состав ВТК'!$I78),$E85,0),2),"-")</f>
        <v>0</v>
      </c>
      <c r="V85" s="298">
        <f>IFERROR(ROUND(IF(AND('Расчет участников НИР'!$A85='Состав ВТК'!$B78,'Расчет участников НИР'!$V$10='Состав ВТК'!$I78),$E85,0),2),"-")</f>
        <v>0</v>
      </c>
      <c r="W85" s="301" t="str">
        <f t="shared" si="18"/>
        <v>-</v>
      </c>
      <c r="X85" s="301" t="str">
        <f t="shared" si="19"/>
        <v>-</v>
      </c>
      <c r="Y85" s="301" t="str">
        <f t="shared" si="20"/>
        <v>-</v>
      </c>
    </row>
    <row r="86" spans="1:25" x14ac:dyDescent="0.25">
      <c r="A86" s="217">
        <f>'Состав ВТК'!B79</f>
        <v>0</v>
      </c>
      <c r="B86" s="290">
        <f>IFERROR(VLOOKUP($A86,Распределение!$B$13:$L$113,11,FALSE),"-")</f>
        <v>0</v>
      </c>
      <c r="C86" s="291" t="str">
        <f>IFERROR(IF(VLOOKUP($B86,Расценка!$H$3:$I$9,2,FALSE)="НС",Расценка!$T$11,Расценка!$T$12),"-")</f>
        <v>-</v>
      </c>
      <c r="D86" s="291">
        <f>IFERROR(INDEX(Распределение!$1:$1048576,MATCH($A86,Распределение!$B:$B,0),MATCH($D$8,Распределение!$9:$9,0)),"---")</f>
        <v>0</v>
      </c>
      <c r="E86" s="292">
        <f>IFERROR(SUMIFS('Трудозатраты членов ВТК'!$G$17:$G$117,'Трудозатраты членов ВТК'!$D$17:$D$117,A:A),"-")</f>
        <v>0</v>
      </c>
      <c r="F86" s="293">
        <f>IFERROR(SUMIFS('Трудозатраты членов ВТК'!$F$464:$F$713,'Трудозатраты членов ВТК'!$D$464:$D$713,A:A),"-")</f>
        <v>0</v>
      </c>
      <c r="G86" s="302"/>
      <c r="H86" s="295">
        <f t="shared" si="12"/>
        <v>0</v>
      </c>
      <c r="I86" s="296">
        <f>IFERROR(ROUND(IF('Состав ВТК'!$K79=справочник!$A$5,IF(AND('Расчет участников НИР'!$A86='Состав ВТК'!$B79,$I$10='Состав ВТК'!$I79),$F86*$D86*VLOOKUP('Расчет участников НИР'!$B86,Расценка!$C$3:$E$13,3,FALSE),0),0),2),"-")</f>
        <v>0</v>
      </c>
      <c r="J86" s="296">
        <f>IFERROR(ROUND(IF('Состав ВТК'!$K79=справочник!$A$5,IF(AND('Расчет участников НИР'!$A86='Состав ВТК'!$B79,$J$10='Состав ВТК'!$I79),$F86*$D86*VLOOKUP('Расчет участников НИР'!$B86,Расценка!$C$3:$E$13,3,FALSE),0),0),2),"-")</f>
        <v>0</v>
      </c>
      <c r="K86" s="296">
        <f>IFERROR(ROUND(IF('Состав ВТК'!$K79=справочник!$A$5,IF(AND('Расчет участников НИР'!$A86='Состав ВТК'!$B79,$K$10='Состав ВТК'!$I79),$F86*$D86*VLOOKUP('Расчет участников НИР'!$B86,Расценка!$C$3:$E$13,3,FALSE),0),0),2),"-")</f>
        <v>0</v>
      </c>
      <c r="L86" s="297"/>
      <c r="M86" s="295">
        <f t="shared" si="13"/>
        <v>0</v>
      </c>
      <c r="N86" s="298">
        <f>IFERROR(ROUND(IF('Состав ВТК'!$K79=справочник!$A$5,(IF(AND($A86='Состав ВТК'!$B79,$N$10=$C86),$F86*$D86*VLOOKUP($B86,Расценка!$H$3:$K$9,4,FALSE),0)),0),2),"-")</f>
        <v>0</v>
      </c>
      <c r="O86" s="298">
        <f>IFERROR(ROUND(IF('Состав ВТК'!$K79=справочник!$A$5,(IF(AND($A86='Состав ВТК'!$B79,$O$10=$C86),$F86*$D86*VLOOKUP($B86,Расценка!$H$3:$K$9,4,FALSE),0)),0),2),"-")</f>
        <v>0</v>
      </c>
      <c r="P86" s="299">
        <f t="shared" si="14"/>
        <v>0</v>
      </c>
      <c r="Q86" s="300">
        <f t="shared" si="15"/>
        <v>0</v>
      </c>
      <c r="R86" s="300">
        <f t="shared" si="16"/>
        <v>0</v>
      </c>
      <c r="S86" s="295">
        <f t="shared" si="17"/>
        <v>0</v>
      </c>
      <c r="T86" s="298">
        <f>IFERROR(ROUND(IF(AND('Расчет участников НИР'!$A86='Состав ВТК'!$B79,'Расчет участников НИР'!$T$10='Состав ВТК'!$I79),$E86,0),2),"-")</f>
        <v>0</v>
      </c>
      <c r="U86" s="298">
        <f>IFERROR(ROUND(IF(AND('Расчет участников НИР'!$A86='Состав ВТК'!$B79,'Расчет участников НИР'!$U$10='Состав ВТК'!$I79),$E86,0),2),"-")</f>
        <v>0</v>
      </c>
      <c r="V86" s="298">
        <f>IFERROR(ROUND(IF(AND('Расчет участников НИР'!$A86='Состав ВТК'!$B79,'Расчет участников НИР'!$V$10='Состав ВТК'!$I79),$E86,0),2),"-")</f>
        <v>0</v>
      </c>
      <c r="W86" s="301" t="str">
        <f t="shared" si="18"/>
        <v>-</v>
      </c>
      <c r="X86" s="301" t="str">
        <f t="shared" si="19"/>
        <v>-</v>
      </c>
      <c r="Y86" s="301" t="str">
        <f t="shared" si="20"/>
        <v>-</v>
      </c>
    </row>
    <row r="87" spans="1:25" x14ac:dyDescent="0.25">
      <c r="A87" s="217">
        <f>'Состав ВТК'!B80</f>
        <v>0</v>
      </c>
      <c r="B87" s="290">
        <f>IFERROR(VLOOKUP($A87,Распределение!$B$13:$L$113,11,FALSE),"-")</f>
        <v>0</v>
      </c>
      <c r="C87" s="291" t="str">
        <f>IFERROR(IF(VLOOKUP($B87,Расценка!$H$3:$I$9,2,FALSE)="НС",Расценка!$T$11,Расценка!$T$12),"-")</f>
        <v>-</v>
      </c>
      <c r="D87" s="291">
        <f>IFERROR(INDEX(Распределение!$1:$1048576,MATCH($A87,Распределение!$B:$B,0),MATCH($D$8,Распределение!$9:$9,0)),"---")</f>
        <v>0</v>
      </c>
      <c r="E87" s="292">
        <f>IFERROR(SUMIFS('Трудозатраты членов ВТК'!$G$17:$G$117,'Трудозатраты членов ВТК'!$D$17:$D$117,A:A),"-")</f>
        <v>0</v>
      </c>
      <c r="F87" s="293">
        <f>IFERROR(SUMIFS('Трудозатраты членов ВТК'!$F$464:$F$713,'Трудозатраты членов ВТК'!$D$464:$D$713,A:A),"-")</f>
        <v>0</v>
      </c>
      <c r="G87" s="302"/>
      <c r="H87" s="295">
        <f t="shared" si="12"/>
        <v>0</v>
      </c>
      <c r="I87" s="296">
        <f>IFERROR(ROUND(IF('Состав ВТК'!$K80=справочник!$A$5,IF(AND('Расчет участников НИР'!$A87='Состав ВТК'!$B80,$I$10='Состав ВТК'!$I80),$F87*$D87*VLOOKUP('Расчет участников НИР'!$B87,Расценка!$C$3:$E$13,3,FALSE),0),0),2),"-")</f>
        <v>0</v>
      </c>
      <c r="J87" s="296">
        <f>IFERROR(ROUND(IF('Состав ВТК'!$K80=справочник!$A$5,IF(AND('Расчет участников НИР'!$A87='Состав ВТК'!$B80,$J$10='Состав ВТК'!$I80),$F87*$D87*VLOOKUP('Расчет участников НИР'!$B87,Расценка!$C$3:$E$13,3,FALSE),0),0),2),"-")</f>
        <v>0</v>
      </c>
      <c r="K87" s="296">
        <f>IFERROR(ROUND(IF('Состав ВТК'!$K80=справочник!$A$5,IF(AND('Расчет участников НИР'!$A87='Состав ВТК'!$B80,$K$10='Состав ВТК'!$I80),$F87*$D87*VLOOKUP('Расчет участников НИР'!$B87,Расценка!$C$3:$E$13,3,FALSE),0),0),2),"-")</f>
        <v>0</v>
      </c>
      <c r="L87" s="297"/>
      <c r="M87" s="295">
        <f t="shared" si="13"/>
        <v>0</v>
      </c>
      <c r="N87" s="298">
        <f>IFERROR(ROUND(IF('Состав ВТК'!$K80=справочник!$A$5,(IF(AND($A87='Состав ВТК'!$B80,$N$10=$C87),$F87*$D87*VLOOKUP($B87,Расценка!$H$3:$K$9,4,FALSE),0)),0),2),"-")</f>
        <v>0</v>
      </c>
      <c r="O87" s="298">
        <f>IFERROR(ROUND(IF('Состав ВТК'!$K80=справочник!$A$5,(IF(AND($A87='Состав ВТК'!$B80,$O$10=$C87),$F87*$D87*VLOOKUP($B87,Расценка!$H$3:$K$9,4,FALSE),0)),0),2),"-")</f>
        <v>0</v>
      </c>
      <c r="P87" s="299">
        <f t="shared" si="14"/>
        <v>0</v>
      </c>
      <c r="Q87" s="300">
        <f t="shared" si="15"/>
        <v>0</v>
      </c>
      <c r="R87" s="300">
        <f t="shared" si="16"/>
        <v>0</v>
      </c>
      <c r="S87" s="295">
        <f t="shared" si="17"/>
        <v>0</v>
      </c>
      <c r="T87" s="298">
        <f>IFERROR(ROUND(IF(AND('Расчет участников НИР'!$A87='Состав ВТК'!$B80,'Расчет участников НИР'!$T$10='Состав ВТК'!$I80),$E87,0),2),"-")</f>
        <v>0</v>
      </c>
      <c r="U87" s="298">
        <f>IFERROR(ROUND(IF(AND('Расчет участников НИР'!$A87='Состав ВТК'!$B80,'Расчет участников НИР'!$U$10='Состав ВТК'!$I80),$E87,0),2),"-")</f>
        <v>0</v>
      </c>
      <c r="V87" s="298">
        <f>IFERROR(ROUND(IF(AND('Расчет участников НИР'!$A87='Состав ВТК'!$B80,'Расчет участников НИР'!$V$10='Состав ВТК'!$I80),$E87,0),2),"-")</f>
        <v>0</v>
      </c>
      <c r="W87" s="301" t="str">
        <f t="shared" si="18"/>
        <v>-</v>
      </c>
      <c r="X87" s="301" t="str">
        <f t="shared" si="19"/>
        <v>-</v>
      </c>
      <c r="Y87" s="301" t="str">
        <f t="shared" si="20"/>
        <v>-</v>
      </c>
    </row>
    <row r="88" spans="1:25" x14ac:dyDescent="0.25">
      <c r="A88" s="217">
        <f>'Состав ВТК'!B81</f>
        <v>0</v>
      </c>
      <c r="B88" s="290">
        <f>IFERROR(VLOOKUP($A88,Распределение!$B$13:$L$113,11,FALSE),"-")</f>
        <v>0</v>
      </c>
      <c r="C88" s="291" t="str">
        <f>IFERROR(IF(VLOOKUP($B88,Расценка!$H$3:$I$9,2,FALSE)="НС",Расценка!$T$11,Расценка!$T$12),"-")</f>
        <v>-</v>
      </c>
      <c r="D88" s="291">
        <f>IFERROR(INDEX(Распределение!$1:$1048576,MATCH($A88,Распределение!$B:$B,0),MATCH($D$8,Распределение!$9:$9,0)),"---")</f>
        <v>0</v>
      </c>
      <c r="E88" s="292">
        <f>IFERROR(SUMIFS('Трудозатраты членов ВТК'!$G$17:$G$117,'Трудозатраты членов ВТК'!$D$17:$D$117,A:A),"-")</f>
        <v>0</v>
      </c>
      <c r="F88" s="293">
        <f>IFERROR(SUMIFS('Трудозатраты членов ВТК'!$F$464:$F$713,'Трудозатраты членов ВТК'!$D$464:$D$713,A:A),"-")</f>
        <v>0</v>
      </c>
      <c r="G88" s="302"/>
      <c r="H88" s="295">
        <f t="shared" si="12"/>
        <v>0</v>
      </c>
      <c r="I88" s="296">
        <f>IFERROR(ROUND(IF('Состав ВТК'!$K81=справочник!$A$5,IF(AND('Расчет участников НИР'!$A88='Состав ВТК'!$B81,$I$10='Состав ВТК'!$I81),$F88*$D88*VLOOKUP('Расчет участников НИР'!$B88,Расценка!$C$3:$E$13,3,FALSE),0),0),2),"-")</f>
        <v>0</v>
      </c>
      <c r="J88" s="296">
        <f>IFERROR(ROUND(IF('Состав ВТК'!$K81=справочник!$A$5,IF(AND('Расчет участников НИР'!$A88='Состав ВТК'!$B81,$J$10='Состав ВТК'!$I81),$F88*$D88*VLOOKUP('Расчет участников НИР'!$B88,Расценка!$C$3:$E$13,3,FALSE),0),0),2),"-")</f>
        <v>0</v>
      </c>
      <c r="K88" s="296">
        <f>IFERROR(ROUND(IF('Состав ВТК'!$K81=справочник!$A$5,IF(AND('Расчет участников НИР'!$A88='Состав ВТК'!$B81,$K$10='Состав ВТК'!$I81),$F88*$D88*VLOOKUP('Расчет участников НИР'!$B88,Расценка!$C$3:$E$13,3,FALSE),0),0),2),"-")</f>
        <v>0</v>
      </c>
      <c r="L88" s="297"/>
      <c r="M88" s="295">
        <f t="shared" si="13"/>
        <v>0</v>
      </c>
      <c r="N88" s="298">
        <f>IFERROR(ROUND(IF('Состав ВТК'!$K81=справочник!$A$5,(IF(AND($A88='Состав ВТК'!$B81,$N$10=$C88),$F88*$D88*VLOOKUP($B88,Расценка!$H$3:$K$9,4,FALSE),0)),0),2),"-")</f>
        <v>0</v>
      </c>
      <c r="O88" s="298">
        <f>IFERROR(ROUND(IF('Состав ВТК'!$K81=справочник!$A$5,(IF(AND($A88='Состав ВТК'!$B81,$O$10=$C88),$F88*$D88*VLOOKUP($B88,Расценка!$H$3:$K$9,4,FALSE),0)),0),2),"-")</f>
        <v>0</v>
      </c>
      <c r="P88" s="299">
        <f t="shared" si="14"/>
        <v>0</v>
      </c>
      <c r="Q88" s="300">
        <f t="shared" si="15"/>
        <v>0</v>
      </c>
      <c r="R88" s="300">
        <f t="shared" si="16"/>
        <v>0</v>
      </c>
      <c r="S88" s="295">
        <f t="shared" si="17"/>
        <v>0</v>
      </c>
      <c r="T88" s="298">
        <f>IFERROR(ROUND(IF(AND('Расчет участников НИР'!$A88='Состав ВТК'!$B81,'Расчет участников НИР'!$T$10='Состав ВТК'!$I81),$E88,0),2),"-")</f>
        <v>0</v>
      </c>
      <c r="U88" s="298">
        <f>IFERROR(ROUND(IF(AND('Расчет участников НИР'!$A88='Состав ВТК'!$B81,'Расчет участников НИР'!$U$10='Состав ВТК'!$I81),$E88,0),2),"-")</f>
        <v>0</v>
      </c>
      <c r="V88" s="298">
        <f>IFERROR(ROUND(IF(AND('Расчет участников НИР'!$A88='Состав ВТК'!$B81,'Расчет участников НИР'!$V$10='Состав ВТК'!$I81),$E88,0),2),"-")</f>
        <v>0</v>
      </c>
      <c r="W88" s="301" t="str">
        <f t="shared" si="18"/>
        <v>-</v>
      </c>
      <c r="X88" s="301" t="str">
        <f t="shared" si="19"/>
        <v>-</v>
      </c>
      <c r="Y88" s="301" t="str">
        <f t="shared" si="20"/>
        <v>-</v>
      </c>
    </row>
    <row r="89" spans="1:25" x14ac:dyDescent="0.25">
      <c r="A89" s="217">
        <f>'Состав ВТК'!B82</f>
        <v>0</v>
      </c>
      <c r="B89" s="290">
        <f>IFERROR(VLOOKUP($A89,Распределение!$B$13:$L$113,11,FALSE),"-")</f>
        <v>0</v>
      </c>
      <c r="C89" s="291" t="str">
        <f>IFERROR(IF(VLOOKUP($B89,Расценка!$H$3:$I$9,2,FALSE)="НС",Расценка!$T$11,Расценка!$T$12),"-")</f>
        <v>-</v>
      </c>
      <c r="D89" s="291">
        <f>IFERROR(INDEX(Распределение!$1:$1048576,MATCH($A89,Распределение!$B:$B,0),MATCH($D$8,Распределение!$9:$9,0)),"---")</f>
        <v>0</v>
      </c>
      <c r="E89" s="292">
        <f>IFERROR(SUMIFS('Трудозатраты членов ВТК'!$G$17:$G$117,'Трудозатраты членов ВТК'!$D$17:$D$117,A:A),"-")</f>
        <v>0</v>
      </c>
      <c r="F89" s="293">
        <f>IFERROR(SUMIFS('Трудозатраты членов ВТК'!$F$464:$F$713,'Трудозатраты членов ВТК'!$D$464:$D$713,A:A),"-")</f>
        <v>0</v>
      </c>
      <c r="G89" s="302"/>
      <c r="H89" s="295">
        <f t="shared" si="12"/>
        <v>0</v>
      </c>
      <c r="I89" s="296">
        <f>IFERROR(ROUND(IF('Состав ВТК'!$K82=справочник!$A$5,IF(AND('Расчет участников НИР'!$A89='Состав ВТК'!$B82,$I$10='Состав ВТК'!$I82),$F89*$D89*VLOOKUP('Расчет участников НИР'!$B89,Расценка!$C$3:$E$13,3,FALSE),0),0),2),"-")</f>
        <v>0</v>
      </c>
      <c r="J89" s="296">
        <f>IFERROR(ROUND(IF('Состав ВТК'!$K82=справочник!$A$5,IF(AND('Расчет участников НИР'!$A89='Состав ВТК'!$B82,$J$10='Состав ВТК'!$I82),$F89*$D89*VLOOKUP('Расчет участников НИР'!$B89,Расценка!$C$3:$E$13,3,FALSE),0),0),2),"-")</f>
        <v>0</v>
      </c>
      <c r="K89" s="296">
        <f>IFERROR(ROUND(IF('Состав ВТК'!$K82=справочник!$A$5,IF(AND('Расчет участников НИР'!$A89='Состав ВТК'!$B82,$K$10='Состав ВТК'!$I82),$F89*$D89*VLOOKUP('Расчет участников НИР'!$B89,Расценка!$C$3:$E$13,3,FALSE),0),0),2),"-")</f>
        <v>0</v>
      </c>
      <c r="L89" s="297"/>
      <c r="M89" s="295">
        <f t="shared" si="13"/>
        <v>0</v>
      </c>
      <c r="N89" s="298">
        <f>IFERROR(ROUND(IF('Состав ВТК'!$K82=справочник!$A$5,(IF(AND($A89='Состав ВТК'!$B82,$N$10=$C89),$F89*$D89*VLOOKUP($B89,Расценка!$H$3:$K$9,4,FALSE),0)),0),2),"-")</f>
        <v>0</v>
      </c>
      <c r="O89" s="298">
        <f>IFERROR(ROUND(IF('Состав ВТК'!$K82=справочник!$A$5,(IF(AND($A89='Состав ВТК'!$B82,$O$10=$C89),$F89*$D89*VLOOKUP($B89,Расценка!$H$3:$K$9,4,FALSE),0)),0),2),"-")</f>
        <v>0</v>
      </c>
      <c r="P89" s="299">
        <f t="shared" si="14"/>
        <v>0</v>
      </c>
      <c r="Q89" s="300">
        <f t="shared" si="15"/>
        <v>0</v>
      </c>
      <c r="R89" s="300">
        <f t="shared" si="16"/>
        <v>0</v>
      </c>
      <c r="S89" s="295">
        <f t="shared" si="17"/>
        <v>0</v>
      </c>
      <c r="T89" s="298">
        <f>IFERROR(ROUND(IF(AND('Расчет участников НИР'!$A89='Состав ВТК'!$B82,'Расчет участников НИР'!$T$10='Состав ВТК'!$I82),$E89,0),2),"-")</f>
        <v>0</v>
      </c>
      <c r="U89" s="298">
        <f>IFERROR(ROUND(IF(AND('Расчет участников НИР'!$A89='Состав ВТК'!$B82,'Расчет участников НИР'!$U$10='Состав ВТК'!$I82),$E89,0),2),"-")</f>
        <v>0</v>
      </c>
      <c r="V89" s="298">
        <f>IFERROR(ROUND(IF(AND('Расчет участников НИР'!$A89='Состав ВТК'!$B82,'Расчет участников НИР'!$V$10='Состав ВТК'!$I82),$E89,0),2),"-")</f>
        <v>0</v>
      </c>
      <c r="W89" s="301" t="str">
        <f t="shared" si="18"/>
        <v>-</v>
      </c>
      <c r="X89" s="301" t="str">
        <f t="shared" si="19"/>
        <v>-</v>
      </c>
      <c r="Y89" s="301" t="str">
        <f t="shared" si="20"/>
        <v>-</v>
      </c>
    </row>
    <row r="90" spans="1:25" x14ac:dyDescent="0.25">
      <c r="A90" s="217">
        <f>'Состав ВТК'!B83</f>
        <v>0</v>
      </c>
      <c r="B90" s="290">
        <f>IFERROR(VLOOKUP($A90,Распределение!$B$13:$L$113,11,FALSE),"-")</f>
        <v>0</v>
      </c>
      <c r="C90" s="291" t="str">
        <f>IFERROR(IF(VLOOKUP($B90,Расценка!$H$3:$I$9,2,FALSE)="НС",Расценка!$T$11,Расценка!$T$12),"-")</f>
        <v>-</v>
      </c>
      <c r="D90" s="291">
        <f>IFERROR(INDEX(Распределение!$1:$1048576,MATCH($A90,Распределение!$B:$B,0),MATCH($D$8,Распределение!$9:$9,0)),"---")</f>
        <v>0</v>
      </c>
      <c r="E90" s="292">
        <f>IFERROR(SUMIFS('Трудозатраты членов ВТК'!$G$17:$G$117,'Трудозатраты членов ВТК'!$D$17:$D$117,A:A),"-")</f>
        <v>0</v>
      </c>
      <c r="F90" s="293">
        <f>IFERROR(SUMIFS('Трудозатраты членов ВТК'!$F$464:$F$713,'Трудозатраты членов ВТК'!$D$464:$D$713,A:A),"-")</f>
        <v>0</v>
      </c>
      <c r="G90" s="302"/>
      <c r="H90" s="295">
        <f t="shared" si="12"/>
        <v>0</v>
      </c>
      <c r="I90" s="296">
        <f>IFERROR(ROUND(IF('Состав ВТК'!$K83=справочник!$A$5,IF(AND('Расчет участников НИР'!$A90='Состав ВТК'!$B83,$I$10='Состав ВТК'!$I83),$F90*$D90*VLOOKUP('Расчет участников НИР'!$B90,Расценка!$C$3:$E$13,3,FALSE),0),0),2),"-")</f>
        <v>0</v>
      </c>
      <c r="J90" s="296">
        <f>IFERROR(ROUND(IF('Состав ВТК'!$K83=справочник!$A$5,IF(AND('Расчет участников НИР'!$A90='Состав ВТК'!$B83,$J$10='Состав ВТК'!$I83),$F90*$D90*VLOOKUP('Расчет участников НИР'!$B90,Расценка!$C$3:$E$13,3,FALSE),0),0),2),"-")</f>
        <v>0</v>
      </c>
      <c r="K90" s="296">
        <f>IFERROR(ROUND(IF('Состав ВТК'!$K83=справочник!$A$5,IF(AND('Расчет участников НИР'!$A90='Состав ВТК'!$B83,$K$10='Состав ВТК'!$I83),$F90*$D90*VLOOKUP('Расчет участников НИР'!$B90,Расценка!$C$3:$E$13,3,FALSE),0),0),2),"-")</f>
        <v>0</v>
      </c>
      <c r="L90" s="297"/>
      <c r="M90" s="295">
        <f t="shared" si="13"/>
        <v>0</v>
      </c>
      <c r="N90" s="298">
        <f>IFERROR(ROUND(IF('Состав ВТК'!$K83=справочник!$A$5,(IF(AND($A90='Состав ВТК'!$B83,$N$10=$C90),$F90*$D90*VLOOKUP($B90,Расценка!$H$3:$K$9,4,FALSE),0)),0),2),"-")</f>
        <v>0</v>
      </c>
      <c r="O90" s="298">
        <f>IFERROR(ROUND(IF('Состав ВТК'!$K83=справочник!$A$5,(IF(AND($A90='Состав ВТК'!$B83,$O$10=$C90),$F90*$D90*VLOOKUP($B90,Расценка!$H$3:$K$9,4,FALSE),0)),0),2),"-")</f>
        <v>0</v>
      </c>
      <c r="P90" s="299">
        <f t="shared" si="14"/>
        <v>0</v>
      </c>
      <c r="Q90" s="300">
        <f t="shared" si="15"/>
        <v>0</v>
      </c>
      <c r="R90" s="300">
        <f t="shared" si="16"/>
        <v>0</v>
      </c>
      <c r="S90" s="295">
        <f t="shared" si="17"/>
        <v>0</v>
      </c>
      <c r="T90" s="298">
        <f>IFERROR(ROUND(IF(AND('Расчет участников НИР'!$A90='Состав ВТК'!$B83,'Расчет участников НИР'!$T$10='Состав ВТК'!$I83),$E90,0),2),"-")</f>
        <v>0</v>
      </c>
      <c r="U90" s="298">
        <f>IFERROR(ROUND(IF(AND('Расчет участников НИР'!$A90='Состав ВТК'!$B83,'Расчет участников НИР'!$U$10='Состав ВТК'!$I83),$E90,0),2),"-")</f>
        <v>0</v>
      </c>
      <c r="V90" s="298">
        <f>IFERROR(ROUND(IF(AND('Расчет участников НИР'!$A90='Состав ВТК'!$B83,'Расчет участников НИР'!$V$10='Состав ВТК'!$I83),$E90,0),2),"-")</f>
        <v>0</v>
      </c>
      <c r="W90" s="301" t="str">
        <f t="shared" si="18"/>
        <v>-</v>
      </c>
      <c r="X90" s="301" t="str">
        <f t="shared" si="19"/>
        <v>-</v>
      </c>
      <c r="Y90" s="301" t="str">
        <f t="shared" si="20"/>
        <v>-</v>
      </c>
    </row>
    <row r="91" spans="1:25" x14ac:dyDescent="0.25">
      <c r="A91" s="217">
        <f>'Состав ВТК'!B84</f>
        <v>0</v>
      </c>
      <c r="B91" s="290">
        <f>IFERROR(VLOOKUP($A91,Распределение!$B$13:$L$113,11,FALSE),"-")</f>
        <v>0</v>
      </c>
      <c r="C91" s="291" t="str">
        <f>IFERROR(IF(VLOOKUP($B91,Расценка!$H$3:$I$9,2,FALSE)="НС",Расценка!$T$11,Расценка!$T$12),"-")</f>
        <v>-</v>
      </c>
      <c r="D91" s="291">
        <f>IFERROR(INDEX(Распределение!$1:$1048576,MATCH($A91,Распределение!$B:$B,0),MATCH($D$8,Распределение!$9:$9,0)),"---")</f>
        <v>0</v>
      </c>
      <c r="E91" s="292">
        <f>IFERROR(SUMIFS('Трудозатраты членов ВТК'!$G$17:$G$117,'Трудозатраты членов ВТК'!$D$17:$D$117,A:A),"-")</f>
        <v>0</v>
      </c>
      <c r="F91" s="293">
        <f>IFERROR(SUMIFS('Трудозатраты членов ВТК'!$F$464:$F$713,'Трудозатраты членов ВТК'!$D$464:$D$713,A:A),"-")</f>
        <v>0</v>
      </c>
      <c r="G91" s="302"/>
      <c r="H91" s="295">
        <f t="shared" si="12"/>
        <v>0</v>
      </c>
      <c r="I91" s="296">
        <f>IFERROR(ROUND(IF('Состав ВТК'!$K84=справочник!$A$5,IF(AND('Расчет участников НИР'!$A91='Состав ВТК'!$B84,$I$10='Состав ВТК'!$I84),$F91*$D91*VLOOKUP('Расчет участников НИР'!$B91,Расценка!$C$3:$E$13,3,FALSE),0),0),2),"-")</f>
        <v>0</v>
      </c>
      <c r="J91" s="296">
        <f>IFERROR(ROUND(IF('Состав ВТК'!$K84=справочник!$A$5,IF(AND('Расчет участников НИР'!$A91='Состав ВТК'!$B84,$J$10='Состав ВТК'!$I84),$F91*$D91*VLOOKUP('Расчет участников НИР'!$B91,Расценка!$C$3:$E$13,3,FALSE),0),0),2),"-")</f>
        <v>0</v>
      </c>
      <c r="K91" s="296">
        <f>IFERROR(ROUND(IF('Состав ВТК'!$K84=справочник!$A$5,IF(AND('Расчет участников НИР'!$A91='Состав ВТК'!$B84,$K$10='Состав ВТК'!$I84),$F91*$D91*VLOOKUP('Расчет участников НИР'!$B91,Расценка!$C$3:$E$13,3,FALSE),0),0),2),"-")</f>
        <v>0</v>
      </c>
      <c r="L91" s="297"/>
      <c r="M91" s="295">
        <f t="shared" si="13"/>
        <v>0</v>
      </c>
      <c r="N91" s="298">
        <f>IFERROR(ROUND(IF('Состав ВТК'!$K84=справочник!$A$5,(IF(AND($A91='Состав ВТК'!$B84,$N$10=$C91),$F91*$D91*VLOOKUP($B91,Расценка!$H$3:$K$9,4,FALSE),0)),0),2),"-")</f>
        <v>0</v>
      </c>
      <c r="O91" s="298">
        <f>IFERROR(ROUND(IF('Состав ВТК'!$K84=справочник!$A$5,(IF(AND($A91='Состав ВТК'!$B84,$O$10=$C91),$F91*$D91*VLOOKUP($B91,Расценка!$H$3:$K$9,4,FALSE),0)),0),2),"-")</f>
        <v>0</v>
      </c>
      <c r="P91" s="299">
        <f t="shared" si="14"/>
        <v>0</v>
      </c>
      <c r="Q91" s="300">
        <f t="shared" si="15"/>
        <v>0</v>
      </c>
      <c r="R91" s="300">
        <f t="shared" si="16"/>
        <v>0</v>
      </c>
      <c r="S91" s="295">
        <f t="shared" si="17"/>
        <v>0</v>
      </c>
      <c r="T91" s="298">
        <f>IFERROR(ROUND(IF(AND('Расчет участников НИР'!$A91='Состав ВТК'!$B84,'Расчет участников НИР'!$T$10='Состав ВТК'!$I84),$E91,0),2),"-")</f>
        <v>0</v>
      </c>
      <c r="U91" s="298">
        <f>IFERROR(ROUND(IF(AND('Расчет участников НИР'!$A91='Состав ВТК'!$B84,'Расчет участников НИР'!$U$10='Состав ВТК'!$I84),$E91,0),2),"-")</f>
        <v>0</v>
      </c>
      <c r="V91" s="298">
        <f>IFERROR(ROUND(IF(AND('Расчет участников НИР'!$A91='Состав ВТК'!$B84,'Расчет участников НИР'!$V$10='Состав ВТК'!$I84),$E91,0),2),"-")</f>
        <v>0</v>
      </c>
      <c r="W91" s="301" t="str">
        <f t="shared" si="18"/>
        <v>-</v>
      </c>
      <c r="X91" s="301" t="str">
        <f t="shared" si="19"/>
        <v>-</v>
      </c>
      <c r="Y91" s="301" t="str">
        <f t="shared" si="20"/>
        <v>-</v>
      </c>
    </row>
    <row r="92" spans="1:25" x14ac:dyDescent="0.25">
      <c r="A92" s="217">
        <f>'Состав ВТК'!B85</f>
        <v>0</v>
      </c>
      <c r="B92" s="290">
        <f>IFERROR(VLOOKUP($A92,Распределение!$B$13:$L$113,11,FALSE),"-")</f>
        <v>0</v>
      </c>
      <c r="C92" s="291" t="str">
        <f>IFERROR(IF(VLOOKUP($B92,Расценка!$H$3:$I$9,2,FALSE)="НС",Расценка!$T$11,Расценка!$T$12),"-")</f>
        <v>-</v>
      </c>
      <c r="D92" s="291">
        <f>IFERROR(INDEX(Распределение!$1:$1048576,MATCH($A92,Распределение!$B:$B,0),MATCH($D$8,Распределение!$9:$9,0)),"---")</f>
        <v>0</v>
      </c>
      <c r="E92" s="292">
        <f>IFERROR(SUMIFS('Трудозатраты членов ВТК'!$G$17:$G$117,'Трудозатраты членов ВТК'!$D$17:$D$117,A:A),"-")</f>
        <v>0</v>
      </c>
      <c r="F92" s="293">
        <f>IFERROR(SUMIFS('Трудозатраты членов ВТК'!$F$464:$F$713,'Трудозатраты членов ВТК'!$D$464:$D$713,A:A),"-")</f>
        <v>0</v>
      </c>
      <c r="G92" s="302"/>
      <c r="H92" s="295">
        <f t="shared" si="12"/>
        <v>0</v>
      </c>
      <c r="I92" s="296">
        <f>IFERROR(ROUND(IF('Состав ВТК'!$K85=справочник!$A$5,IF(AND('Расчет участников НИР'!$A92='Состав ВТК'!$B85,$I$10='Состав ВТК'!$I85),$F92*$D92*VLOOKUP('Расчет участников НИР'!$B92,Расценка!$C$3:$E$13,3,FALSE),0),0),2),"-")</f>
        <v>0</v>
      </c>
      <c r="J92" s="296">
        <f>IFERROR(ROUND(IF('Состав ВТК'!$K85=справочник!$A$5,IF(AND('Расчет участников НИР'!$A92='Состав ВТК'!$B85,$J$10='Состав ВТК'!$I85),$F92*$D92*VLOOKUP('Расчет участников НИР'!$B92,Расценка!$C$3:$E$13,3,FALSE),0),0),2),"-")</f>
        <v>0</v>
      </c>
      <c r="K92" s="296">
        <f>IFERROR(ROUND(IF('Состав ВТК'!$K85=справочник!$A$5,IF(AND('Расчет участников НИР'!$A92='Состав ВТК'!$B85,$K$10='Состав ВТК'!$I85),$F92*$D92*VLOOKUP('Расчет участников НИР'!$B92,Расценка!$C$3:$E$13,3,FALSE),0),0),2),"-")</f>
        <v>0</v>
      </c>
      <c r="L92" s="297"/>
      <c r="M92" s="295">
        <f t="shared" si="13"/>
        <v>0</v>
      </c>
      <c r="N92" s="298">
        <f>IFERROR(ROUND(IF('Состав ВТК'!$K85=справочник!$A$5,(IF(AND($A92='Состав ВТК'!$B85,$N$10=$C92),$F92*$D92*VLOOKUP($B92,Расценка!$H$3:$K$9,4,FALSE),0)),0),2),"-")</f>
        <v>0</v>
      </c>
      <c r="O92" s="298">
        <f>IFERROR(ROUND(IF('Состав ВТК'!$K85=справочник!$A$5,(IF(AND($A92='Состав ВТК'!$B85,$O$10=$C92),$F92*$D92*VLOOKUP($B92,Расценка!$H$3:$K$9,4,FALSE),0)),0),2),"-")</f>
        <v>0</v>
      </c>
      <c r="P92" s="299">
        <f t="shared" si="14"/>
        <v>0</v>
      </c>
      <c r="Q92" s="300">
        <f t="shared" si="15"/>
        <v>0</v>
      </c>
      <c r="R92" s="300">
        <f t="shared" si="16"/>
        <v>0</v>
      </c>
      <c r="S92" s="295">
        <f t="shared" si="17"/>
        <v>0</v>
      </c>
      <c r="T92" s="298">
        <f>IFERROR(ROUND(IF(AND('Расчет участников НИР'!$A92='Состав ВТК'!$B85,'Расчет участников НИР'!$T$10='Состав ВТК'!$I85),$E92,0),2),"-")</f>
        <v>0</v>
      </c>
      <c r="U92" s="298">
        <f>IFERROR(ROUND(IF(AND('Расчет участников НИР'!$A92='Состав ВТК'!$B85,'Расчет участников НИР'!$U$10='Состав ВТК'!$I85),$E92,0),2),"-")</f>
        <v>0</v>
      </c>
      <c r="V92" s="298">
        <f>IFERROR(ROUND(IF(AND('Расчет участников НИР'!$A92='Состав ВТК'!$B85,'Расчет участников НИР'!$V$10='Состав ВТК'!$I85),$E92,0),2),"-")</f>
        <v>0</v>
      </c>
      <c r="W92" s="301" t="str">
        <f t="shared" si="18"/>
        <v>-</v>
      </c>
      <c r="X92" s="301" t="str">
        <f t="shared" si="19"/>
        <v>-</v>
      </c>
      <c r="Y92" s="301" t="str">
        <f t="shared" si="20"/>
        <v>-</v>
      </c>
    </row>
    <row r="93" spans="1:25" x14ac:dyDescent="0.25">
      <c r="A93" s="217">
        <f>'Состав ВТК'!B86</f>
        <v>0</v>
      </c>
      <c r="B93" s="290">
        <f>IFERROR(VLOOKUP($A93,Распределение!$B$13:$L$113,11,FALSE),"-")</f>
        <v>0</v>
      </c>
      <c r="C93" s="291" t="str">
        <f>IFERROR(IF(VLOOKUP($B93,Расценка!$H$3:$I$9,2,FALSE)="НС",Расценка!$T$11,Расценка!$T$12),"-")</f>
        <v>-</v>
      </c>
      <c r="D93" s="291">
        <f>IFERROR(INDEX(Распределение!$1:$1048576,MATCH($A93,Распределение!$B:$B,0),MATCH($D$8,Распределение!$9:$9,0)),"---")</f>
        <v>0</v>
      </c>
      <c r="E93" s="292">
        <f>IFERROR(SUMIFS('Трудозатраты членов ВТК'!$G$17:$G$117,'Трудозатраты членов ВТК'!$D$17:$D$117,A:A),"-")</f>
        <v>0</v>
      </c>
      <c r="F93" s="293">
        <f>IFERROR(SUMIFS('Трудозатраты членов ВТК'!$F$464:$F$713,'Трудозатраты членов ВТК'!$D$464:$D$713,A:A),"-")</f>
        <v>0</v>
      </c>
      <c r="G93" s="302"/>
      <c r="H93" s="295">
        <f t="shared" si="12"/>
        <v>0</v>
      </c>
      <c r="I93" s="296">
        <f>IFERROR(ROUND(IF('Состав ВТК'!$K86=справочник!$A$5,IF(AND('Расчет участников НИР'!$A93='Состав ВТК'!$B86,$I$10='Состав ВТК'!$I86),$F93*$D93*VLOOKUP('Расчет участников НИР'!$B93,Расценка!$C$3:$E$13,3,FALSE),0),0),2),"-")</f>
        <v>0</v>
      </c>
      <c r="J93" s="296">
        <f>IFERROR(ROUND(IF('Состав ВТК'!$K86=справочник!$A$5,IF(AND('Расчет участников НИР'!$A93='Состав ВТК'!$B86,$J$10='Состав ВТК'!$I86),$F93*$D93*VLOOKUP('Расчет участников НИР'!$B93,Расценка!$C$3:$E$13,3,FALSE),0),0),2),"-")</f>
        <v>0</v>
      </c>
      <c r="K93" s="296">
        <f>IFERROR(ROUND(IF('Состав ВТК'!$K86=справочник!$A$5,IF(AND('Расчет участников НИР'!$A93='Состав ВТК'!$B86,$K$10='Состав ВТК'!$I86),$F93*$D93*VLOOKUP('Расчет участников НИР'!$B93,Расценка!$C$3:$E$13,3,FALSE),0),0),2),"-")</f>
        <v>0</v>
      </c>
      <c r="L93" s="297"/>
      <c r="M93" s="295">
        <f t="shared" si="13"/>
        <v>0</v>
      </c>
      <c r="N93" s="298">
        <f>IFERROR(ROUND(IF('Состав ВТК'!$K86=справочник!$A$5,(IF(AND($A93='Состав ВТК'!$B86,$N$10=$C93),$F93*$D93*VLOOKUP($B93,Расценка!$H$3:$K$9,4,FALSE),0)),0),2),"-")</f>
        <v>0</v>
      </c>
      <c r="O93" s="298">
        <f>IFERROR(ROUND(IF('Состав ВТК'!$K86=справочник!$A$5,(IF(AND($A93='Состав ВТК'!$B86,$O$10=$C93),$F93*$D93*VLOOKUP($B93,Расценка!$H$3:$K$9,4,FALSE),0)),0),2),"-")</f>
        <v>0</v>
      </c>
      <c r="P93" s="299">
        <f t="shared" si="14"/>
        <v>0</v>
      </c>
      <c r="Q93" s="300">
        <f t="shared" si="15"/>
        <v>0</v>
      </c>
      <c r="R93" s="300">
        <f t="shared" si="16"/>
        <v>0</v>
      </c>
      <c r="S93" s="295">
        <f t="shared" si="17"/>
        <v>0</v>
      </c>
      <c r="T93" s="298">
        <f>IFERROR(ROUND(IF(AND('Расчет участников НИР'!$A93='Состав ВТК'!$B86,'Расчет участников НИР'!$T$10='Состав ВТК'!$I86),$E93,0),2),"-")</f>
        <v>0</v>
      </c>
      <c r="U93" s="298">
        <f>IFERROR(ROUND(IF(AND('Расчет участников НИР'!$A93='Состав ВТК'!$B86,'Расчет участников НИР'!$U$10='Состав ВТК'!$I86),$E93,0),2),"-")</f>
        <v>0</v>
      </c>
      <c r="V93" s="298">
        <f>IFERROR(ROUND(IF(AND('Расчет участников НИР'!$A93='Состав ВТК'!$B86,'Расчет участников НИР'!$V$10='Состав ВТК'!$I86),$E93,0),2),"-")</f>
        <v>0</v>
      </c>
      <c r="W93" s="301" t="str">
        <f t="shared" si="18"/>
        <v>-</v>
      </c>
      <c r="X93" s="301" t="str">
        <f t="shared" si="19"/>
        <v>-</v>
      </c>
      <c r="Y93" s="301" t="str">
        <f t="shared" si="20"/>
        <v>-</v>
      </c>
    </row>
    <row r="94" spans="1:25" x14ac:dyDescent="0.25">
      <c r="A94" s="217">
        <f>'Состав ВТК'!B87</f>
        <v>0</v>
      </c>
      <c r="B94" s="290">
        <f>IFERROR(VLOOKUP($A94,Распределение!$B$13:$L$113,11,FALSE),"-")</f>
        <v>0</v>
      </c>
      <c r="C94" s="291" t="str">
        <f>IFERROR(IF(VLOOKUP($B94,Расценка!$H$3:$I$9,2,FALSE)="НС",Расценка!$T$11,Расценка!$T$12),"-")</f>
        <v>-</v>
      </c>
      <c r="D94" s="291">
        <f>IFERROR(INDEX(Распределение!$1:$1048576,MATCH($A94,Распределение!$B:$B,0),MATCH($D$8,Распределение!$9:$9,0)),"---")</f>
        <v>0</v>
      </c>
      <c r="E94" s="292">
        <f>IFERROR(SUMIFS('Трудозатраты членов ВТК'!$G$17:$G$117,'Трудозатраты членов ВТК'!$D$17:$D$117,A:A),"-")</f>
        <v>0</v>
      </c>
      <c r="F94" s="293">
        <f>IFERROR(SUMIFS('Трудозатраты членов ВТК'!$F$464:$F$713,'Трудозатраты членов ВТК'!$D$464:$D$713,A:A),"-")</f>
        <v>0</v>
      </c>
      <c r="G94" s="302"/>
      <c r="H94" s="295">
        <f t="shared" si="12"/>
        <v>0</v>
      </c>
      <c r="I94" s="296">
        <f>IFERROR(ROUND(IF('Состав ВТК'!$K87=справочник!$A$5,IF(AND('Расчет участников НИР'!$A94='Состав ВТК'!$B87,$I$10='Состав ВТК'!$I87),$F94*$D94*VLOOKUP('Расчет участников НИР'!$B94,Расценка!$C$3:$E$13,3,FALSE),0),0),2),"-")</f>
        <v>0</v>
      </c>
      <c r="J94" s="296">
        <f>IFERROR(ROUND(IF('Состав ВТК'!$K87=справочник!$A$5,IF(AND('Расчет участников НИР'!$A94='Состав ВТК'!$B87,$J$10='Состав ВТК'!$I87),$F94*$D94*VLOOKUP('Расчет участников НИР'!$B94,Расценка!$C$3:$E$13,3,FALSE),0),0),2),"-")</f>
        <v>0</v>
      </c>
      <c r="K94" s="296">
        <f>IFERROR(ROUND(IF('Состав ВТК'!$K87=справочник!$A$5,IF(AND('Расчет участников НИР'!$A94='Состав ВТК'!$B87,$K$10='Состав ВТК'!$I87),$F94*$D94*VLOOKUP('Расчет участников НИР'!$B94,Расценка!$C$3:$E$13,3,FALSE),0),0),2),"-")</f>
        <v>0</v>
      </c>
      <c r="L94" s="297"/>
      <c r="M94" s="295">
        <f t="shared" si="13"/>
        <v>0</v>
      </c>
      <c r="N94" s="298">
        <f>IFERROR(ROUND(IF('Состав ВТК'!$K87=справочник!$A$5,(IF(AND($A94='Состав ВТК'!$B87,$N$10=$C94),$F94*$D94*VLOOKUP($B94,Расценка!$H$3:$K$9,4,FALSE),0)),0),2),"-")</f>
        <v>0</v>
      </c>
      <c r="O94" s="298">
        <f>IFERROR(ROUND(IF('Состав ВТК'!$K87=справочник!$A$5,(IF(AND($A94='Состав ВТК'!$B87,$O$10=$C94),$F94*$D94*VLOOKUP($B94,Расценка!$H$3:$K$9,4,FALSE),0)),0),2),"-")</f>
        <v>0</v>
      </c>
      <c r="P94" s="299">
        <f t="shared" si="14"/>
        <v>0</v>
      </c>
      <c r="Q94" s="300">
        <f t="shared" si="15"/>
        <v>0</v>
      </c>
      <c r="R94" s="300">
        <f t="shared" si="16"/>
        <v>0</v>
      </c>
      <c r="S94" s="295">
        <f t="shared" si="17"/>
        <v>0</v>
      </c>
      <c r="T94" s="298">
        <f>IFERROR(ROUND(IF(AND('Расчет участников НИР'!$A94='Состав ВТК'!$B87,'Расчет участников НИР'!$T$10='Состав ВТК'!$I87),$E94,0),2),"-")</f>
        <v>0</v>
      </c>
      <c r="U94" s="298">
        <f>IFERROR(ROUND(IF(AND('Расчет участников НИР'!$A94='Состав ВТК'!$B87,'Расчет участников НИР'!$U$10='Состав ВТК'!$I87),$E94,0),2),"-")</f>
        <v>0</v>
      </c>
      <c r="V94" s="298">
        <f>IFERROR(ROUND(IF(AND('Расчет участников НИР'!$A94='Состав ВТК'!$B87,'Расчет участников НИР'!$V$10='Состав ВТК'!$I87),$E94,0),2),"-")</f>
        <v>0</v>
      </c>
      <c r="W94" s="301" t="str">
        <f t="shared" si="18"/>
        <v>-</v>
      </c>
      <c r="X94" s="301" t="str">
        <f t="shared" si="19"/>
        <v>-</v>
      </c>
      <c r="Y94" s="301" t="str">
        <f t="shared" si="20"/>
        <v>-</v>
      </c>
    </row>
    <row r="95" spans="1:25" x14ac:dyDescent="0.25">
      <c r="A95" s="217">
        <f>'Состав ВТК'!B88</f>
        <v>0</v>
      </c>
      <c r="B95" s="290">
        <f>IFERROR(VLOOKUP($A95,Распределение!$B$13:$L$113,11,FALSE),"-")</f>
        <v>0</v>
      </c>
      <c r="C95" s="291" t="str">
        <f>IFERROR(IF(VLOOKUP($B95,Расценка!$H$3:$I$9,2,FALSE)="НС",Расценка!$T$11,Расценка!$T$12),"-")</f>
        <v>-</v>
      </c>
      <c r="D95" s="291">
        <f>IFERROR(INDEX(Распределение!$1:$1048576,MATCH($A95,Распределение!$B:$B,0),MATCH($D$8,Распределение!$9:$9,0)),"---")</f>
        <v>0</v>
      </c>
      <c r="E95" s="292">
        <f>IFERROR(SUMIFS('Трудозатраты членов ВТК'!$G$17:$G$117,'Трудозатраты членов ВТК'!$D$17:$D$117,A:A),"-")</f>
        <v>0</v>
      </c>
      <c r="F95" s="293">
        <f>IFERROR(SUMIFS('Трудозатраты членов ВТК'!$F$464:$F$713,'Трудозатраты членов ВТК'!$D$464:$D$713,A:A),"-")</f>
        <v>0</v>
      </c>
      <c r="G95" s="302"/>
      <c r="H95" s="295">
        <f t="shared" si="12"/>
        <v>0</v>
      </c>
      <c r="I95" s="296">
        <f>IFERROR(ROUND(IF('Состав ВТК'!$K88=справочник!$A$5,IF(AND('Расчет участников НИР'!$A95='Состав ВТК'!$B88,$I$10='Состав ВТК'!$I88),$F95*$D95*VLOOKUP('Расчет участников НИР'!$B95,Расценка!$C$3:$E$13,3,FALSE),0),0),2),"-")</f>
        <v>0</v>
      </c>
      <c r="J95" s="296">
        <f>IFERROR(ROUND(IF('Состав ВТК'!$K88=справочник!$A$5,IF(AND('Расчет участников НИР'!$A95='Состав ВТК'!$B88,$J$10='Состав ВТК'!$I88),$F95*$D95*VLOOKUP('Расчет участников НИР'!$B95,Расценка!$C$3:$E$13,3,FALSE),0),0),2),"-")</f>
        <v>0</v>
      </c>
      <c r="K95" s="296">
        <f>IFERROR(ROUND(IF('Состав ВТК'!$K88=справочник!$A$5,IF(AND('Расчет участников НИР'!$A95='Состав ВТК'!$B88,$K$10='Состав ВТК'!$I88),$F95*$D95*VLOOKUP('Расчет участников НИР'!$B95,Расценка!$C$3:$E$13,3,FALSE),0),0),2),"-")</f>
        <v>0</v>
      </c>
      <c r="L95" s="297"/>
      <c r="M95" s="295">
        <f t="shared" si="13"/>
        <v>0</v>
      </c>
      <c r="N95" s="298">
        <f>IFERROR(ROUND(IF('Состав ВТК'!$K88=справочник!$A$5,(IF(AND($A95='Состав ВТК'!$B88,$N$10=$C95),$F95*$D95*VLOOKUP($B95,Расценка!$H$3:$K$9,4,FALSE),0)),0),2),"-")</f>
        <v>0</v>
      </c>
      <c r="O95" s="298">
        <f>IFERROR(ROUND(IF('Состав ВТК'!$K88=справочник!$A$5,(IF(AND($A95='Состав ВТК'!$B88,$O$10=$C95),$F95*$D95*VLOOKUP($B95,Расценка!$H$3:$K$9,4,FALSE),0)),0),2),"-")</f>
        <v>0</v>
      </c>
      <c r="P95" s="299">
        <f t="shared" si="14"/>
        <v>0</v>
      </c>
      <c r="Q95" s="300">
        <f t="shared" si="15"/>
        <v>0</v>
      </c>
      <c r="R95" s="300">
        <f t="shared" si="16"/>
        <v>0</v>
      </c>
      <c r="S95" s="295">
        <f t="shared" si="17"/>
        <v>0</v>
      </c>
      <c r="T95" s="298">
        <f>IFERROR(ROUND(IF(AND('Расчет участников НИР'!$A95='Состав ВТК'!$B88,'Расчет участников НИР'!$T$10='Состав ВТК'!$I88),$E95,0),2),"-")</f>
        <v>0</v>
      </c>
      <c r="U95" s="298">
        <f>IFERROR(ROUND(IF(AND('Расчет участников НИР'!$A95='Состав ВТК'!$B88,'Расчет участников НИР'!$U$10='Состав ВТК'!$I88),$E95,0),2),"-")</f>
        <v>0</v>
      </c>
      <c r="V95" s="298">
        <f>IFERROR(ROUND(IF(AND('Расчет участников НИР'!$A95='Состав ВТК'!$B88,'Расчет участников НИР'!$V$10='Состав ВТК'!$I88),$E95,0),2),"-")</f>
        <v>0</v>
      </c>
      <c r="W95" s="301" t="str">
        <f t="shared" si="18"/>
        <v>-</v>
      </c>
      <c r="X95" s="301" t="str">
        <f t="shared" si="19"/>
        <v>-</v>
      </c>
      <c r="Y95" s="301" t="str">
        <f t="shared" si="20"/>
        <v>-</v>
      </c>
    </row>
    <row r="96" spans="1:25" x14ac:dyDescent="0.25">
      <c r="A96" s="217">
        <f>'Состав ВТК'!B89</f>
        <v>0</v>
      </c>
      <c r="B96" s="290">
        <f>IFERROR(VLOOKUP($A96,Распределение!$B$13:$L$113,11,FALSE),"-")</f>
        <v>0</v>
      </c>
      <c r="C96" s="291" t="str">
        <f>IFERROR(IF(VLOOKUP($B96,Расценка!$H$3:$I$9,2,FALSE)="НС",Расценка!$T$11,Расценка!$T$12),"-")</f>
        <v>-</v>
      </c>
      <c r="D96" s="291">
        <f>IFERROR(INDEX(Распределение!$1:$1048576,MATCH($A96,Распределение!$B:$B,0),MATCH($D$8,Распределение!$9:$9,0)),"---")</f>
        <v>0</v>
      </c>
      <c r="E96" s="292">
        <f>IFERROR(SUMIFS('Трудозатраты членов ВТК'!$G$17:$G$117,'Трудозатраты членов ВТК'!$D$17:$D$117,A:A),"-")</f>
        <v>0</v>
      </c>
      <c r="F96" s="293">
        <f>IFERROR(SUMIFS('Трудозатраты членов ВТК'!$F$464:$F$713,'Трудозатраты членов ВТК'!$D$464:$D$713,A:A),"-")</f>
        <v>0</v>
      </c>
      <c r="G96" s="302"/>
      <c r="H96" s="295">
        <f t="shared" si="12"/>
        <v>0</v>
      </c>
      <c r="I96" s="296">
        <f>IFERROR(ROUND(IF('Состав ВТК'!$K89=справочник!$A$5,IF(AND('Расчет участников НИР'!$A96='Состав ВТК'!$B89,$I$10='Состав ВТК'!$I89),$F96*$D96*VLOOKUP('Расчет участников НИР'!$B96,Расценка!$C$3:$E$13,3,FALSE),0),0),2),"-")</f>
        <v>0</v>
      </c>
      <c r="J96" s="296">
        <f>IFERROR(ROUND(IF('Состав ВТК'!$K89=справочник!$A$5,IF(AND('Расчет участников НИР'!$A96='Состав ВТК'!$B89,$J$10='Состав ВТК'!$I89),$F96*$D96*VLOOKUP('Расчет участников НИР'!$B96,Расценка!$C$3:$E$13,3,FALSE),0),0),2),"-")</f>
        <v>0</v>
      </c>
      <c r="K96" s="296">
        <f>IFERROR(ROUND(IF('Состав ВТК'!$K89=справочник!$A$5,IF(AND('Расчет участников НИР'!$A96='Состав ВТК'!$B89,$K$10='Состав ВТК'!$I89),$F96*$D96*VLOOKUP('Расчет участников НИР'!$B96,Расценка!$C$3:$E$13,3,FALSE),0),0),2),"-")</f>
        <v>0</v>
      </c>
      <c r="L96" s="297"/>
      <c r="M96" s="295">
        <f t="shared" si="13"/>
        <v>0</v>
      </c>
      <c r="N96" s="298">
        <f>IFERROR(ROUND(IF('Состав ВТК'!$K89=справочник!$A$5,(IF(AND($A96='Состав ВТК'!$B89,$N$10=$C96),$F96*$D96*VLOOKUP($B96,Расценка!$H$3:$K$9,4,FALSE),0)),0),2),"-")</f>
        <v>0</v>
      </c>
      <c r="O96" s="298">
        <f>IFERROR(ROUND(IF('Состав ВТК'!$K89=справочник!$A$5,(IF(AND($A96='Состав ВТК'!$B89,$O$10=$C96),$F96*$D96*VLOOKUP($B96,Расценка!$H$3:$K$9,4,FALSE),0)),0),2),"-")</f>
        <v>0</v>
      </c>
      <c r="P96" s="299">
        <f t="shared" si="14"/>
        <v>0</v>
      </c>
      <c r="Q96" s="300">
        <f t="shared" si="15"/>
        <v>0</v>
      </c>
      <c r="R96" s="300">
        <f t="shared" si="16"/>
        <v>0</v>
      </c>
      <c r="S96" s="295">
        <f t="shared" si="17"/>
        <v>0</v>
      </c>
      <c r="T96" s="298">
        <f>IFERROR(ROUND(IF(AND('Расчет участников НИР'!$A96='Состав ВТК'!$B89,'Расчет участников НИР'!$T$10='Состав ВТК'!$I89),$E96,0),2),"-")</f>
        <v>0</v>
      </c>
      <c r="U96" s="298">
        <f>IFERROR(ROUND(IF(AND('Расчет участников НИР'!$A96='Состав ВТК'!$B89,'Расчет участников НИР'!$U$10='Состав ВТК'!$I89),$E96,0),2),"-")</f>
        <v>0</v>
      </c>
      <c r="V96" s="298">
        <f>IFERROR(ROUND(IF(AND('Расчет участников НИР'!$A96='Состав ВТК'!$B89,'Расчет участников НИР'!$V$10='Состав ВТК'!$I89),$E96,0),2),"-")</f>
        <v>0</v>
      </c>
      <c r="W96" s="301" t="str">
        <f t="shared" si="18"/>
        <v>-</v>
      </c>
      <c r="X96" s="301" t="str">
        <f t="shared" si="19"/>
        <v>-</v>
      </c>
      <c r="Y96" s="301" t="str">
        <f t="shared" si="20"/>
        <v>-</v>
      </c>
    </row>
    <row r="97" spans="1:25" x14ac:dyDescent="0.25">
      <c r="A97" s="217">
        <f>'Состав ВТК'!B90</f>
        <v>0</v>
      </c>
      <c r="B97" s="290">
        <f>IFERROR(VLOOKUP($A97,Распределение!$B$13:$L$113,11,FALSE),"-")</f>
        <v>0</v>
      </c>
      <c r="C97" s="291" t="str">
        <f>IFERROR(IF(VLOOKUP($B97,Расценка!$H$3:$I$9,2,FALSE)="НС",Расценка!$T$11,Расценка!$T$12),"-")</f>
        <v>-</v>
      </c>
      <c r="D97" s="291">
        <f>IFERROR(INDEX(Распределение!$1:$1048576,MATCH($A97,Распределение!$B:$B,0),MATCH($D$8,Распределение!$9:$9,0)),"---")</f>
        <v>0</v>
      </c>
      <c r="E97" s="292">
        <f>IFERROR(SUMIFS('Трудозатраты членов ВТК'!$G$17:$G$117,'Трудозатраты членов ВТК'!$D$17:$D$117,A:A),"-")</f>
        <v>0</v>
      </c>
      <c r="F97" s="293">
        <f>IFERROR(SUMIFS('Трудозатраты членов ВТК'!$F$464:$F$713,'Трудозатраты членов ВТК'!$D$464:$D$713,A:A),"-")</f>
        <v>0</v>
      </c>
      <c r="G97" s="302"/>
      <c r="H97" s="295">
        <f t="shared" si="12"/>
        <v>0</v>
      </c>
      <c r="I97" s="296">
        <f>IFERROR(ROUND(IF('Состав ВТК'!$K90=справочник!$A$5,IF(AND('Расчет участников НИР'!$A97='Состав ВТК'!$B90,$I$10='Состав ВТК'!$I90),$F97*$D97*VLOOKUP('Расчет участников НИР'!$B97,Расценка!$C$3:$E$13,3,FALSE),0),0),2),"-")</f>
        <v>0</v>
      </c>
      <c r="J97" s="296">
        <f>IFERROR(ROUND(IF('Состав ВТК'!$K90=справочник!$A$5,IF(AND('Расчет участников НИР'!$A97='Состав ВТК'!$B90,$J$10='Состав ВТК'!$I90),$F97*$D97*VLOOKUP('Расчет участников НИР'!$B97,Расценка!$C$3:$E$13,3,FALSE),0),0),2),"-")</f>
        <v>0</v>
      </c>
      <c r="K97" s="296">
        <f>IFERROR(ROUND(IF('Состав ВТК'!$K90=справочник!$A$5,IF(AND('Расчет участников НИР'!$A97='Состав ВТК'!$B90,$K$10='Состав ВТК'!$I90),$F97*$D97*VLOOKUP('Расчет участников НИР'!$B97,Расценка!$C$3:$E$13,3,FALSE),0),0),2),"-")</f>
        <v>0</v>
      </c>
      <c r="L97" s="297"/>
      <c r="M97" s="295">
        <f t="shared" si="13"/>
        <v>0</v>
      </c>
      <c r="N97" s="298">
        <f>IFERROR(ROUND(IF('Состав ВТК'!$K90=справочник!$A$5,(IF(AND($A97='Состав ВТК'!$B90,$N$10=$C97),$F97*$D97*VLOOKUP($B97,Расценка!$H$3:$K$9,4,FALSE),0)),0),2),"-")</f>
        <v>0</v>
      </c>
      <c r="O97" s="298">
        <f>IFERROR(ROUND(IF('Состав ВТК'!$K90=справочник!$A$5,(IF(AND($A97='Состав ВТК'!$B90,$O$10=$C97),$F97*$D97*VLOOKUP($B97,Расценка!$H$3:$K$9,4,FALSE),0)),0),2),"-")</f>
        <v>0</v>
      </c>
      <c r="P97" s="299">
        <f t="shared" si="14"/>
        <v>0</v>
      </c>
      <c r="Q97" s="300">
        <f t="shared" si="15"/>
        <v>0</v>
      </c>
      <c r="R97" s="300">
        <f t="shared" si="16"/>
        <v>0</v>
      </c>
      <c r="S97" s="295">
        <f t="shared" si="17"/>
        <v>0</v>
      </c>
      <c r="T97" s="298">
        <f>IFERROR(ROUND(IF(AND('Расчет участников НИР'!$A97='Состав ВТК'!$B90,'Расчет участников НИР'!$T$10='Состав ВТК'!$I90),$E97,0),2),"-")</f>
        <v>0</v>
      </c>
      <c r="U97" s="298">
        <f>IFERROR(ROUND(IF(AND('Расчет участников НИР'!$A97='Состав ВТК'!$B90,'Расчет участников НИР'!$U$10='Состав ВТК'!$I90),$E97,0),2),"-")</f>
        <v>0</v>
      </c>
      <c r="V97" s="298">
        <f>IFERROR(ROUND(IF(AND('Расчет участников НИР'!$A97='Состав ВТК'!$B90,'Расчет участников НИР'!$V$10='Состав ВТК'!$I90),$E97,0),2),"-")</f>
        <v>0</v>
      </c>
      <c r="W97" s="301" t="str">
        <f t="shared" si="18"/>
        <v>-</v>
      </c>
      <c r="X97" s="301" t="str">
        <f t="shared" si="19"/>
        <v>-</v>
      </c>
      <c r="Y97" s="301" t="str">
        <f t="shared" si="20"/>
        <v>-</v>
      </c>
    </row>
    <row r="98" spans="1:25" x14ac:dyDescent="0.25">
      <c r="A98" s="217">
        <f>'Состав ВТК'!B91</f>
        <v>0</v>
      </c>
      <c r="B98" s="290">
        <f>IFERROR(VLOOKUP($A98,Распределение!$B$13:$L$113,11,FALSE),"-")</f>
        <v>0</v>
      </c>
      <c r="C98" s="291" t="str">
        <f>IFERROR(IF(VLOOKUP($B98,Расценка!$H$3:$I$9,2,FALSE)="НС",Расценка!$T$11,Расценка!$T$12),"-")</f>
        <v>-</v>
      </c>
      <c r="D98" s="291">
        <f>IFERROR(INDEX(Распределение!$1:$1048576,MATCH($A98,Распределение!$B:$B,0),MATCH($D$8,Распределение!$9:$9,0)),"---")</f>
        <v>0</v>
      </c>
      <c r="E98" s="292">
        <f>IFERROR(SUMIFS('Трудозатраты членов ВТК'!$G$17:$G$117,'Трудозатраты членов ВТК'!$D$17:$D$117,A:A),"-")</f>
        <v>0</v>
      </c>
      <c r="F98" s="293">
        <f>IFERROR(SUMIFS('Трудозатраты членов ВТК'!$F$464:$F$713,'Трудозатраты членов ВТК'!$D$464:$D$713,A:A),"-")</f>
        <v>0</v>
      </c>
      <c r="G98" s="302"/>
      <c r="H98" s="295">
        <f t="shared" si="12"/>
        <v>0</v>
      </c>
      <c r="I98" s="296">
        <f>IFERROR(ROUND(IF('Состав ВТК'!$K91=справочник!$A$5,IF(AND('Расчет участников НИР'!$A98='Состав ВТК'!$B91,$I$10='Состав ВТК'!$I91),$F98*$D98*VLOOKUP('Расчет участников НИР'!$B98,Расценка!$C$3:$E$13,3,FALSE),0),0),2),"-")</f>
        <v>0</v>
      </c>
      <c r="J98" s="296">
        <f>IFERROR(ROUND(IF('Состав ВТК'!$K91=справочник!$A$5,IF(AND('Расчет участников НИР'!$A98='Состав ВТК'!$B91,$J$10='Состав ВТК'!$I91),$F98*$D98*VLOOKUP('Расчет участников НИР'!$B98,Расценка!$C$3:$E$13,3,FALSE),0),0),2),"-")</f>
        <v>0</v>
      </c>
      <c r="K98" s="296">
        <f>IFERROR(ROUND(IF('Состав ВТК'!$K91=справочник!$A$5,IF(AND('Расчет участников НИР'!$A98='Состав ВТК'!$B91,$K$10='Состав ВТК'!$I91),$F98*$D98*VLOOKUP('Расчет участников НИР'!$B98,Расценка!$C$3:$E$13,3,FALSE),0),0),2),"-")</f>
        <v>0</v>
      </c>
      <c r="L98" s="297"/>
      <c r="M98" s="295">
        <f t="shared" si="13"/>
        <v>0</v>
      </c>
      <c r="N98" s="298">
        <f>IFERROR(ROUND(IF('Состав ВТК'!$K91=справочник!$A$5,(IF(AND($A98='Состав ВТК'!$B91,$N$10=$C98),$F98*$D98*VLOOKUP($B98,Расценка!$H$3:$K$9,4,FALSE),0)),0),2),"-")</f>
        <v>0</v>
      </c>
      <c r="O98" s="298">
        <f>IFERROR(ROUND(IF('Состав ВТК'!$K91=справочник!$A$5,(IF(AND($A98='Состав ВТК'!$B91,$O$10=$C98),$F98*$D98*VLOOKUP($B98,Расценка!$H$3:$K$9,4,FALSE),0)),0),2),"-")</f>
        <v>0</v>
      </c>
      <c r="P98" s="299">
        <f t="shared" si="14"/>
        <v>0</v>
      </c>
      <c r="Q98" s="300">
        <f t="shared" si="15"/>
        <v>0</v>
      </c>
      <c r="R98" s="300">
        <f t="shared" si="16"/>
        <v>0</v>
      </c>
      <c r="S98" s="295">
        <f t="shared" si="17"/>
        <v>0</v>
      </c>
      <c r="T98" s="298">
        <f>IFERROR(ROUND(IF(AND('Расчет участников НИР'!$A98='Состав ВТК'!$B91,'Расчет участников НИР'!$T$10='Состав ВТК'!$I91),$E98,0),2),"-")</f>
        <v>0</v>
      </c>
      <c r="U98" s="298">
        <f>IFERROR(ROUND(IF(AND('Расчет участников НИР'!$A98='Состав ВТК'!$B91,'Расчет участников НИР'!$U$10='Состав ВТК'!$I91),$E98,0),2),"-")</f>
        <v>0</v>
      </c>
      <c r="V98" s="298">
        <f>IFERROR(ROUND(IF(AND('Расчет участников НИР'!$A98='Состав ВТК'!$B91,'Расчет участников НИР'!$V$10='Состав ВТК'!$I91),$E98,0),2),"-")</f>
        <v>0</v>
      </c>
      <c r="W98" s="301" t="str">
        <f t="shared" si="18"/>
        <v>-</v>
      </c>
      <c r="X98" s="301" t="str">
        <f t="shared" si="19"/>
        <v>-</v>
      </c>
      <c r="Y98" s="301" t="str">
        <f t="shared" si="20"/>
        <v>-</v>
      </c>
    </row>
    <row r="99" spans="1:25" x14ac:dyDescent="0.25">
      <c r="A99" s="217">
        <f>'Состав ВТК'!B92</f>
        <v>0</v>
      </c>
      <c r="B99" s="290">
        <f>IFERROR(VLOOKUP($A99,Распределение!$B$13:$L$113,11,FALSE),"-")</f>
        <v>0</v>
      </c>
      <c r="C99" s="291" t="str">
        <f>IFERROR(IF(VLOOKUP($B99,Расценка!$H$3:$I$9,2,FALSE)="НС",Расценка!$T$11,Расценка!$T$12),"-")</f>
        <v>-</v>
      </c>
      <c r="D99" s="291">
        <f>IFERROR(INDEX(Распределение!$1:$1048576,MATCH($A99,Распределение!$B:$B,0),MATCH($D$8,Распределение!$9:$9,0)),"---")</f>
        <v>0</v>
      </c>
      <c r="E99" s="292">
        <f>IFERROR(SUMIFS('Трудозатраты членов ВТК'!$G$17:$G$117,'Трудозатраты членов ВТК'!$D$17:$D$117,A:A),"-")</f>
        <v>0</v>
      </c>
      <c r="F99" s="293">
        <f>IFERROR(SUMIFS('Трудозатраты членов ВТК'!$F$464:$F$713,'Трудозатраты членов ВТК'!$D$464:$D$713,A:A),"-")</f>
        <v>0</v>
      </c>
      <c r="G99" s="302"/>
      <c r="H99" s="295">
        <f t="shared" si="12"/>
        <v>0</v>
      </c>
      <c r="I99" s="296">
        <f>IFERROR(ROUND(IF('Состав ВТК'!$K92=справочник!$A$5,IF(AND('Расчет участников НИР'!$A99='Состав ВТК'!$B92,$I$10='Состав ВТК'!$I92),$F99*$D99*VLOOKUP('Расчет участников НИР'!$B99,Расценка!$C$3:$E$13,3,FALSE),0),0),2),"-")</f>
        <v>0</v>
      </c>
      <c r="J99" s="296">
        <f>IFERROR(ROUND(IF('Состав ВТК'!$K92=справочник!$A$5,IF(AND('Расчет участников НИР'!$A99='Состав ВТК'!$B92,$J$10='Состав ВТК'!$I92),$F99*$D99*VLOOKUP('Расчет участников НИР'!$B99,Расценка!$C$3:$E$13,3,FALSE),0),0),2),"-")</f>
        <v>0</v>
      </c>
      <c r="K99" s="296">
        <f>IFERROR(ROUND(IF('Состав ВТК'!$K92=справочник!$A$5,IF(AND('Расчет участников НИР'!$A99='Состав ВТК'!$B92,$K$10='Состав ВТК'!$I92),$F99*$D99*VLOOKUP('Расчет участников НИР'!$B99,Расценка!$C$3:$E$13,3,FALSE),0),0),2),"-")</f>
        <v>0</v>
      </c>
      <c r="L99" s="297"/>
      <c r="M99" s="295">
        <f t="shared" si="13"/>
        <v>0</v>
      </c>
      <c r="N99" s="298">
        <f>IFERROR(ROUND(IF('Состав ВТК'!$K92=справочник!$A$5,(IF(AND($A99='Состав ВТК'!$B92,$N$10=$C99),$F99*$D99*VLOOKUP($B99,Расценка!$H$3:$K$9,4,FALSE),0)),0),2),"-")</f>
        <v>0</v>
      </c>
      <c r="O99" s="298">
        <f>IFERROR(ROUND(IF('Состав ВТК'!$K92=справочник!$A$5,(IF(AND($A99='Состав ВТК'!$B92,$O$10=$C99),$F99*$D99*VLOOKUP($B99,Расценка!$H$3:$K$9,4,FALSE),0)),0),2),"-")</f>
        <v>0</v>
      </c>
      <c r="P99" s="299">
        <f t="shared" si="14"/>
        <v>0</v>
      </c>
      <c r="Q99" s="300">
        <f t="shared" si="15"/>
        <v>0</v>
      </c>
      <c r="R99" s="300">
        <f t="shared" si="16"/>
        <v>0</v>
      </c>
      <c r="S99" s="295">
        <f t="shared" si="17"/>
        <v>0</v>
      </c>
      <c r="T99" s="298">
        <f>IFERROR(ROUND(IF(AND('Расчет участников НИР'!$A99='Состав ВТК'!$B92,'Расчет участников НИР'!$T$10='Состав ВТК'!$I92),$E99,0),2),"-")</f>
        <v>0</v>
      </c>
      <c r="U99" s="298">
        <f>IFERROR(ROUND(IF(AND('Расчет участников НИР'!$A99='Состав ВТК'!$B92,'Расчет участников НИР'!$U$10='Состав ВТК'!$I92),$E99,0),2),"-")</f>
        <v>0</v>
      </c>
      <c r="V99" s="298">
        <f>IFERROR(ROUND(IF(AND('Расчет участников НИР'!$A99='Состав ВТК'!$B92,'Расчет участников НИР'!$V$10='Состав ВТК'!$I92),$E99,0),2),"-")</f>
        <v>0</v>
      </c>
      <c r="W99" s="301" t="str">
        <f t="shared" si="18"/>
        <v>-</v>
      </c>
      <c r="X99" s="301" t="str">
        <f t="shared" si="19"/>
        <v>-</v>
      </c>
      <c r="Y99" s="301" t="str">
        <f t="shared" si="20"/>
        <v>-</v>
      </c>
    </row>
    <row r="100" spans="1:25" x14ac:dyDescent="0.25">
      <c r="A100" s="217">
        <f>'Состав ВТК'!B93</f>
        <v>0</v>
      </c>
      <c r="B100" s="290">
        <f>IFERROR(VLOOKUP($A100,Распределение!$B$13:$L$113,11,FALSE),"-")</f>
        <v>0</v>
      </c>
      <c r="C100" s="291" t="str">
        <f>IFERROR(IF(VLOOKUP($B100,Расценка!$H$3:$I$9,2,FALSE)="НС",Расценка!$T$11,Расценка!$T$12),"-")</f>
        <v>-</v>
      </c>
      <c r="D100" s="291">
        <f>IFERROR(INDEX(Распределение!$1:$1048576,MATCH($A100,Распределение!$B:$B,0),MATCH($D$8,Распределение!$9:$9,0)),"---")</f>
        <v>0</v>
      </c>
      <c r="E100" s="292">
        <f>IFERROR(SUMIFS('Трудозатраты членов ВТК'!$G$17:$G$117,'Трудозатраты членов ВТК'!$D$17:$D$117,A:A),"-")</f>
        <v>0</v>
      </c>
      <c r="F100" s="293">
        <f>IFERROR(SUMIFS('Трудозатраты членов ВТК'!$F$464:$F$713,'Трудозатраты членов ВТК'!$D$464:$D$713,A:A),"-")</f>
        <v>0</v>
      </c>
      <c r="G100" s="302"/>
      <c r="H100" s="295">
        <f t="shared" si="12"/>
        <v>0</v>
      </c>
      <c r="I100" s="296">
        <f>IFERROR(ROUND(IF('Состав ВТК'!$K93=справочник!$A$5,IF(AND('Расчет участников НИР'!$A100='Состав ВТК'!$B93,$I$10='Состав ВТК'!$I93),$F100*$D100*VLOOKUP('Расчет участников НИР'!$B100,Расценка!$C$3:$E$13,3,FALSE),0),0),2),"-")</f>
        <v>0</v>
      </c>
      <c r="J100" s="296">
        <f>IFERROR(ROUND(IF('Состав ВТК'!$K93=справочник!$A$5,IF(AND('Расчет участников НИР'!$A100='Состав ВТК'!$B93,$J$10='Состав ВТК'!$I93),$F100*$D100*VLOOKUP('Расчет участников НИР'!$B100,Расценка!$C$3:$E$13,3,FALSE),0),0),2),"-")</f>
        <v>0</v>
      </c>
      <c r="K100" s="296">
        <f>IFERROR(ROUND(IF('Состав ВТК'!$K93=справочник!$A$5,IF(AND('Расчет участников НИР'!$A100='Состав ВТК'!$B93,$K$10='Состав ВТК'!$I93),$F100*$D100*VLOOKUP('Расчет участников НИР'!$B100,Расценка!$C$3:$E$13,3,FALSE),0),0),2),"-")</f>
        <v>0</v>
      </c>
      <c r="L100" s="297"/>
      <c r="M100" s="295">
        <f t="shared" si="13"/>
        <v>0</v>
      </c>
      <c r="N100" s="298">
        <f>IFERROR(ROUND(IF('Состав ВТК'!$K93=справочник!$A$5,(IF(AND($A100='Состав ВТК'!$B93,$N$10=$C100),$F100*$D100*VLOOKUP($B100,Расценка!$H$3:$K$9,4,FALSE),0)),0),2),"-")</f>
        <v>0</v>
      </c>
      <c r="O100" s="298">
        <f>IFERROR(ROUND(IF('Состав ВТК'!$K93=справочник!$A$5,(IF(AND($A100='Состав ВТК'!$B93,$O$10=$C100),$F100*$D100*VLOOKUP($B100,Расценка!$H$3:$K$9,4,FALSE),0)),0),2),"-")</f>
        <v>0</v>
      </c>
      <c r="P100" s="299">
        <f t="shared" si="14"/>
        <v>0</v>
      </c>
      <c r="Q100" s="300">
        <f t="shared" si="15"/>
        <v>0</v>
      </c>
      <c r="R100" s="300">
        <f t="shared" si="16"/>
        <v>0</v>
      </c>
      <c r="S100" s="295">
        <f t="shared" si="17"/>
        <v>0</v>
      </c>
      <c r="T100" s="298">
        <f>IFERROR(ROUND(IF(AND('Расчет участников НИР'!$A100='Состав ВТК'!$B93,'Расчет участников НИР'!$T$10='Состав ВТК'!$I93),$E100,0),2),"-")</f>
        <v>0</v>
      </c>
      <c r="U100" s="298">
        <f>IFERROR(ROUND(IF(AND('Расчет участников НИР'!$A100='Состав ВТК'!$B93,'Расчет участников НИР'!$U$10='Состав ВТК'!$I93),$E100,0),2),"-")</f>
        <v>0</v>
      </c>
      <c r="V100" s="298">
        <f>IFERROR(ROUND(IF(AND('Расчет участников НИР'!$A100='Состав ВТК'!$B93,'Расчет участников НИР'!$V$10='Состав ВТК'!$I93),$E100,0),2),"-")</f>
        <v>0</v>
      </c>
      <c r="W100" s="301" t="str">
        <f t="shared" si="18"/>
        <v>-</v>
      </c>
      <c r="X100" s="301" t="str">
        <f t="shared" si="19"/>
        <v>-</v>
      </c>
      <c r="Y100" s="301" t="str">
        <f t="shared" si="20"/>
        <v>-</v>
      </c>
    </row>
    <row r="101" spans="1:25" x14ac:dyDescent="0.25">
      <c r="A101" s="217">
        <f>'Состав ВТК'!B94</f>
        <v>0</v>
      </c>
      <c r="B101" s="290">
        <f>IFERROR(VLOOKUP($A101,Распределение!$B$13:$L$113,11,FALSE),"-")</f>
        <v>0</v>
      </c>
      <c r="C101" s="291" t="str">
        <f>IFERROR(IF(VLOOKUP($B101,Расценка!$H$3:$I$9,2,FALSE)="НС",Расценка!$T$11,Расценка!$T$12),"-")</f>
        <v>-</v>
      </c>
      <c r="D101" s="291">
        <f>IFERROR(INDEX(Распределение!$1:$1048576,MATCH($A101,Распределение!$B:$B,0),MATCH($D$8,Распределение!$9:$9,0)),"---")</f>
        <v>0</v>
      </c>
      <c r="E101" s="292">
        <f>IFERROR(SUMIFS('Трудозатраты членов ВТК'!$G$17:$G$117,'Трудозатраты членов ВТК'!$D$17:$D$117,A:A),"-")</f>
        <v>0</v>
      </c>
      <c r="F101" s="293">
        <f>IFERROR(SUMIFS('Трудозатраты членов ВТК'!$F$464:$F$713,'Трудозатраты членов ВТК'!$D$464:$D$713,A:A),"-")</f>
        <v>0</v>
      </c>
      <c r="G101" s="302"/>
      <c r="H101" s="295">
        <f t="shared" si="12"/>
        <v>0</v>
      </c>
      <c r="I101" s="296">
        <f>IFERROR(ROUND(IF('Состав ВТК'!$K94=справочник!$A$5,IF(AND('Расчет участников НИР'!$A101='Состав ВТК'!$B94,$I$10='Состав ВТК'!$I94),$F101*$D101*VLOOKUP('Расчет участников НИР'!$B101,Расценка!$C$3:$E$13,3,FALSE),0),0),2),"-")</f>
        <v>0</v>
      </c>
      <c r="J101" s="296">
        <f>IFERROR(ROUND(IF('Состав ВТК'!$K94=справочник!$A$5,IF(AND('Расчет участников НИР'!$A101='Состав ВТК'!$B94,$J$10='Состав ВТК'!$I94),$F101*$D101*VLOOKUP('Расчет участников НИР'!$B101,Расценка!$C$3:$E$13,3,FALSE),0),0),2),"-")</f>
        <v>0</v>
      </c>
      <c r="K101" s="296">
        <f>IFERROR(ROUND(IF('Состав ВТК'!$K94=справочник!$A$5,IF(AND('Расчет участников НИР'!$A101='Состав ВТК'!$B94,$K$10='Состав ВТК'!$I94),$F101*$D101*VLOOKUP('Расчет участников НИР'!$B101,Расценка!$C$3:$E$13,3,FALSE),0),0),2),"-")</f>
        <v>0</v>
      </c>
      <c r="L101" s="297"/>
      <c r="M101" s="295">
        <f t="shared" si="13"/>
        <v>0</v>
      </c>
      <c r="N101" s="298">
        <f>IFERROR(ROUND(IF('Состав ВТК'!$K94=справочник!$A$5,(IF(AND($A101='Состав ВТК'!$B94,$N$10=$C101),$F101*$D101*VLOOKUP($B101,Расценка!$H$3:$K$9,4,FALSE),0)),0),2),"-")</f>
        <v>0</v>
      </c>
      <c r="O101" s="298">
        <f>IFERROR(ROUND(IF('Состав ВТК'!$K94=справочник!$A$5,(IF(AND($A101='Состав ВТК'!$B94,$O$10=$C101),$F101*$D101*VLOOKUP($B101,Расценка!$H$3:$K$9,4,FALSE),0)),0),2),"-")</f>
        <v>0</v>
      </c>
      <c r="P101" s="299">
        <f t="shared" si="14"/>
        <v>0</v>
      </c>
      <c r="Q101" s="300">
        <f t="shared" si="15"/>
        <v>0</v>
      </c>
      <c r="R101" s="300">
        <f t="shared" si="16"/>
        <v>0</v>
      </c>
      <c r="S101" s="295">
        <f t="shared" si="17"/>
        <v>0</v>
      </c>
      <c r="T101" s="298">
        <f>IFERROR(ROUND(IF(AND('Расчет участников НИР'!$A101='Состав ВТК'!$B94,'Расчет участников НИР'!$T$10='Состав ВТК'!$I94),$E101,0),2),"-")</f>
        <v>0</v>
      </c>
      <c r="U101" s="298">
        <f>IFERROR(ROUND(IF(AND('Расчет участников НИР'!$A101='Состав ВТК'!$B94,'Расчет участников НИР'!$U$10='Состав ВТК'!$I94),$E101,0),2),"-")</f>
        <v>0</v>
      </c>
      <c r="V101" s="298">
        <f>IFERROR(ROUND(IF(AND('Расчет участников НИР'!$A101='Состав ВТК'!$B94,'Расчет участников НИР'!$V$10='Состав ВТК'!$I94),$E101,0),2),"-")</f>
        <v>0</v>
      </c>
      <c r="W101" s="301" t="str">
        <f t="shared" si="18"/>
        <v>-</v>
      </c>
      <c r="X101" s="301" t="str">
        <f t="shared" si="19"/>
        <v>-</v>
      </c>
      <c r="Y101" s="301" t="str">
        <f t="shared" si="20"/>
        <v>-</v>
      </c>
    </row>
    <row r="102" spans="1:25" x14ac:dyDescent="0.25">
      <c r="A102" s="217">
        <f>'Состав ВТК'!B95</f>
        <v>0</v>
      </c>
      <c r="B102" s="290">
        <f>IFERROR(VLOOKUP($A102,Распределение!$B$13:$L$113,11,FALSE),"-")</f>
        <v>0</v>
      </c>
      <c r="C102" s="291" t="str">
        <f>IFERROR(IF(VLOOKUP($B102,Расценка!$H$3:$I$9,2,FALSE)="НС",Расценка!$T$11,Расценка!$T$12),"-")</f>
        <v>-</v>
      </c>
      <c r="D102" s="291">
        <f>IFERROR(INDEX(Распределение!$1:$1048576,MATCH($A102,Распределение!$B:$B,0),MATCH($D$8,Распределение!$9:$9,0)),"---")</f>
        <v>0</v>
      </c>
      <c r="E102" s="292">
        <f>IFERROR(SUMIFS('Трудозатраты членов ВТК'!$G$17:$G$117,'Трудозатраты членов ВТК'!$D$17:$D$117,A:A),"-")</f>
        <v>0</v>
      </c>
      <c r="F102" s="293">
        <f>IFERROR(SUMIFS('Трудозатраты членов ВТК'!$F$464:$F$713,'Трудозатраты членов ВТК'!$D$464:$D$713,A:A),"-")</f>
        <v>0</v>
      </c>
      <c r="G102" s="302"/>
      <c r="H102" s="295">
        <f t="shared" si="12"/>
        <v>0</v>
      </c>
      <c r="I102" s="296">
        <f>IFERROR(ROUND(IF('Состав ВТК'!$K95=справочник!$A$5,IF(AND('Расчет участников НИР'!$A102='Состав ВТК'!$B95,$I$10='Состав ВТК'!$I95),$F102*$D102*VLOOKUP('Расчет участников НИР'!$B102,Расценка!$C$3:$E$13,3,FALSE),0),0),2),"-")</f>
        <v>0</v>
      </c>
      <c r="J102" s="296">
        <f>IFERROR(ROUND(IF('Состав ВТК'!$K95=справочник!$A$5,IF(AND('Расчет участников НИР'!$A102='Состав ВТК'!$B95,$J$10='Состав ВТК'!$I95),$F102*$D102*VLOOKUP('Расчет участников НИР'!$B102,Расценка!$C$3:$E$13,3,FALSE),0),0),2),"-")</f>
        <v>0</v>
      </c>
      <c r="K102" s="296">
        <f>IFERROR(ROUND(IF('Состав ВТК'!$K95=справочник!$A$5,IF(AND('Расчет участников НИР'!$A102='Состав ВТК'!$B95,$K$10='Состав ВТК'!$I95),$F102*$D102*VLOOKUP('Расчет участников НИР'!$B102,Расценка!$C$3:$E$13,3,FALSE),0),0),2),"-")</f>
        <v>0</v>
      </c>
      <c r="L102" s="297"/>
      <c r="M102" s="295">
        <f t="shared" si="13"/>
        <v>0</v>
      </c>
      <c r="N102" s="298">
        <f>IFERROR(ROUND(IF('Состав ВТК'!$K95=справочник!$A$5,(IF(AND($A102='Состав ВТК'!$B95,$N$10=$C102),$F102*$D102*VLOOKUP($B102,Расценка!$H$3:$K$9,4,FALSE),0)),0),2),"-")</f>
        <v>0</v>
      </c>
      <c r="O102" s="298">
        <f>IFERROR(ROUND(IF('Состав ВТК'!$K95=справочник!$A$5,(IF(AND($A102='Состав ВТК'!$B95,$O$10=$C102),$F102*$D102*VLOOKUP($B102,Расценка!$H$3:$K$9,4,FALSE),0)),0),2),"-")</f>
        <v>0</v>
      </c>
      <c r="P102" s="299">
        <f t="shared" si="14"/>
        <v>0</v>
      </c>
      <c r="Q102" s="300">
        <f t="shared" si="15"/>
        <v>0</v>
      </c>
      <c r="R102" s="300">
        <f t="shared" si="16"/>
        <v>0</v>
      </c>
      <c r="S102" s="295">
        <f t="shared" si="17"/>
        <v>0</v>
      </c>
      <c r="T102" s="298">
        <f>IFERROR(ROUND(IF(AND('Расчет участников НИР'!$A102='Состав ВТК'!$B95,'Расчет участников НИР'!$T$10='Состав ВТК'!$I95),$E102,0),2),"-")</f>
        <v>0</v>
      </c>
      <c r="U102" s="298">
        <f>IFERROR(ROUND(IF(AND('Расчет участников НИР'!$A102='Состав ВТК'!$B95,'Расчет участников НИР'!$U$10='Состав ВТК'!$I95),$E102,0),2),"-")</f>
        <v>0</v>
      </c>
      <c r="V102" s="298">
        <f>IFERROR(ROUND(IF(AND('Расчет участников НИР'!$A102='Состав ВТК'!$B95,'Расчет участников НИР'!$V$10='Состав ВТК'!$I95),$E102,0),2),"-")</f>
        <v>0</v>
      </c>
      <c r="W102" s="301" t="str">
        <f t="shared" si="18"/>
        <v>-</v>
      </c>
      <c r="X102" s="301" t="str">
        <f t="shared" si="19"/>
        <v>-</v>
      </c>
      <c r="Y102" s="301" t="str">
        <f t="shared" si="20"/>
        <v>-</v>
      </c>
    </row>
    <row r="103" spans="1:25" x14ac:dyDescent="0.25">
      <c r="A103" s="217">
        <f>'Состав ВТК'!B96</f>
        <v>0</v>
      </c>
      <c r="B103" s="290">
        <f>IFERROR(VLOOKUP($A103,Распределение!$B$13:$L$113,11,FALSE),"-")</f>
        <v>0</v>
      </c>
      <c r="C103" s="291" t="str">
        <f>IFERROR(IF(VLOOKUP($B103,Расценка!$H$3:$I$9,2,FALSE)="НС",Расценка!$T$11,Расценка!$T$12),"-")</f>
        <v>-</v>
      </c>
      <c r="D103" s="291">
        <f>IFERROR(INDEX(Распределение!$1:$1048576,MATCH($A103,Распределение!$B:$B,0),MATCH($D$8,Распределение!$9:$9,0)),"---")</f>
        <v>0</v>
      </c>
      <c r="E103" s="292">
        <f>IFERROR(SUMIFS('Трудозатраты членов ВТК'!$G$17:$G$117,'Трудозатраты членов ВТК'!$D$17:$D$117,A:A),"-")</f>
        <v>0</v>
      </c>
      <c r="F103" s="293">
        <f>IFERROR(SUMIFS('Трудозатраты членов ВТК'!$F$464:$F$713,'Трудозатраты членов ВТК'!$D$464:$D$713,A:A),"-")</f>
        <v>0</v>
      </c>
      <c r="G103" s="302"/>
      <c r="H103" s="295">
        <f t="shared" si="12"/>
        <v>0</v>
      </c>
      <c r="I103" s="296">
        <f>IFERROR(ROUND(IF('Состав ВТК'!$K96=справочник!$A$5,IF(AND('Расчет участников НИР'!$A103='Состав ВТК'!$B96,$I$10='Состав ВТК'!$I96),$F103*$D103*VLOOKUP('Расчет участников НИР'!$B103,Расценка!$C$3:$E$13,3,FALSE),0),0),2),"-")</f>
        <v>0</v>
      </c>
      <c r="J103" s="296">
        <f>IFERROR(ROUND(IF('Состав ВТК'!$K96=справочник!$A$5,IF(AND('Расчет участников НИР'!$A103='Состав ВТК'!$B96,$J$10='Состав ВТК'!$I96),$F103*$D103*VLOOKUP('Расчет участников НИР'!$B103,Расценка!$C$3:$E$13,3,FALSE),0),0),2),"-")</f>
        <v>0</v>
      </c>
      <c r="K103" s="296">
        <f>IFERROR(ROUND(IF('Состав ВТК'!$K96=справочник!$A$5,IF(AND('Расчет участников НИР'!$A103='Состав ВТК'!$B96,$K$10='Состав ВТК'!$I96),$F103*$D103*VLOOKUP('Расчет участников НИР'!$B103,Расценка!$C$3:$E$13,3,FALSE),0),0),2),"-")</f>
        <v>0</v>
      </c>
      <c r="L103" s="297"/>
      <c r="M103" s="295">
        <f t="shared" si="13"/>
        <v>0</v>
      </c>
      <c r="N103" s="298">
        <f>IFERROR(ROUND(IF('Состав ВТК'!$K96=справочник!$A$5,(IF(AND($A103='Состав ВТК'!$B96,$N$10=$C103),$F103*$D103*VLOOKUP($B103,Расценка!$H$3:$K$9,4,FALSE),0)),0),2),"-")</f>
        <v>0</v>
      </c>
      <c r="O103" s="298">
        <f>IFERROR(ROUND(IF('Состав ВТК'!$K96=справочник!$A$5,(IF(AND($A103='Состав ВТК'!$B96,$O$10=$C103),$F103*$D103*VLOOKUP($B103,Расценка!$H$3:$K$9,4,FALSE),0)),0),2),"-")</f>
        <v>0</v>
      </c>
      <c r="P103" s="299">
        <f t="shared" si="14"/>
        <v>0</v>
      </c>
      <c r="Q103" s="300">
        <f t="shared" si="15"/>
        <v>0</v>
      </c>
      <c r="R103" s="300">
        <f t="shared" si="16"/>
        <v>0</v>
      </c>
      <c r="S103" s="295">
        <f t="shared" si="17"/>
        <v>0</v>
      </c>
      <c r="T103" s="298">
        <f>IFERROR(ROUND(IF(AND('Расчет участников НИР'!$A103='Состав ВТК'!$B96,'Расчет участников НИР'!$T$10='Состав ВТК'!$I96),$E103,0),2),"-")</f>
        <v>0</v>
      </c>
      <c r="U103" s="298">
        <f>IFERROR(ROUND(IF(AND('Расчет участников НИР'!$A103='Состав ВТК'!$B96,'Расчет участников НИР'!$U$10='Состав ВТК'!$I96),$E103,0),2),"-")</f>
        <v>0</v>
      </c>
      <c r="V103" s="298">
        <f>IFERROR(ROUND(IF(AND('Расчет участников НИР'!$A103='Состав ВТК'!$B96,'Расчет участников НИР'!$V$10='Состав ВТК'!$I96),$E103,0),2),"-")</f>
        <v>0</v>
      </c>
      <c r="W103" s="301" t="str">
        <f t="shared" si="18"/>
        <v>-</v>
      </c>
      <c r="X103" s="301" t="str">
        <f t="shared" si="19"/>
        <v>-</v>
      </c>
      <c r="Y103" s="301" t="str">
        <f t="shared" si="20"/>
        <v>-</v>
      </c>
    </row>
    <row r="104" spans="1:25" x14ac:dyDescent="0.25">
      <c r="A104" s="217">
        <f>'Состав ВТК'!B97</f>
        <v>0</v>
      </c>
      <c r="B104" s="290">
        <f>IFERROR(VLOOKUP($A104,Распределение!$B$13:$L$113,11,FALSE),"-")</f>
        <v>0</v>
      </c>
      <c r="C104" s="291" t="str">
        <f>IFERROR(IF(VLOOKUP($B104,Расценка!$H$3:$I$9,2,FALSE)="НС",Расценка!$T$11,Расценка!$T$12),"-")</f>
        <v>-</v>
      </c>
      <c r="D104" s="291">
        <f>IFERROR(INDEX(Распределение!$1:$1048576,MATCH($A104,Распределение!$B:$B,0),MATCH($D$8,Распределение!$9:$9,0)),"---")</f>
        <v>0</v>
      </c>
      <c r="E104" s="292">
        <f>IFERROR(SUMIFS('Трудозатраты членов ВТК'!$G$17:$G$117,'Трудозатраты членов ВТК'!$D$17:$D$117,A:A),"-")</f>
        <v>0</v>
      </c>
      <c r="F104" s="293">
        <f>IFERROR(SUMIFS('Трудозатраты членов ВТК'!$F$464:$F$713,'Трудозатраты членов ВТК'!$D$464:$D$713,A:A),"-")</f>
        <v>0</v>
      </c>
      <c r="G104" s="302"/>
      <c r="H104" s="295">
        <f t="shared" si="12"/>
        <v>0</v>
      </c>
      <c r="I104" s="296">
        <f>IFERROR(ROUND(IF('Состав ВТК'!$K97=справочник!$A$5,IF(AND('Расчет участников НИР'!$A104='Состав ВТК'!$B97,$I$10='Состав ВТК'!$I97),$F104*$D104*VLOOKUP('Расчет участников НИР'!$B104,Расценка!$C$3:$E$13,3,FALSE),0),0),2),"-")</f>
        <v>0</v>
      </c>
      <c r="J104" s="296">
        <f>IFERROR(ROUND(IF('Состав ВТК'!$K97=справочник!$A$5,IF(AND('Расчет участников НИР'!$A104='Состав ВТК'!$B97,$J$10='Состав ВТК'!$I97),$F104*$D104*VLOOKUP('Расчет участников НИР'!$B104,Расценка!$C$3:$E$13,3,FALSE),0),0),2),"-")</f>
        <v>0</v>
      </c>
      <c r="K104" s="296">
        <f>IFERROR(ROUND(IF('Состав ВТК'!$K97=справочник!$A$5,IF(AND('Расчет участников НИР'!$A104='Состав ВТК'!$B97,$K$10='Состав ВТК'!$I97),$F104*$D104*VLOOKUP('Расчет участников НИР'!$B104,Расценка!$C$3:$E$13,3,FALSE),0),0),2),"-")</f>
        <v>0</v>
      </c>
      <c r="L104" s="297"/>
      <c r="M104" s="295">
        <f t="shared" si="13"/>
        <v>0</v>
      </c>
      <c r="N104" s="298">
        <f>IFERROR(ROUND(IF('Состав ВТК'!$K97=справочник!$A$5,(IF(AND($A104='Состав ВТК'!$B97,$N$10=$C104),$F104*$D104*VLOOKUP($B104,Расценка!$H$3:$K$9,4,FALSE),0)),0),2),"-")</f>
        <v>0</v>
      </c>
      <c r="O104" s="298">
        <f>IFERROR(ROUND(IF('Состав ВТК'!$K97=справочник!$A$5,(IF(AND($A104='Состав ВТК'!$B97,$O$10=$C104),$F104*$D104*VLOOKUP($B104,Расценка!$H$3:$K$9,4,FALSE),0)),0),2),"-")</f>
        <v>0</v>
      </c>
      <c r="P104" s="299">
        <f t="shared" si="14"/>
        <v>0</v>
      </c>
      <c r="Q104" s="300">
        <f t="shared" si="15"/>
        <v>0</v>
      </c>
      <c r="R104" s="300">
        <f t="shared" si="16"/>
        <v>0</v>
      </c>
      <c r="S104" s="295">
        <f t="shared" si="17"/>
        <v>0</v>
      </c>
      <c r="T104" s="298">
        <f>IFERROR(ROUND(IF(AND('Расчет участников НИР'!$A104='Состав ВТК'!$B97,'Расчет участников НИР'!$T$10='Состав ВТК'!$I97),$E104,0),2),"-")</f>
        <v>0</v>
      </c>
      <c r="U104" s="298">
        <f>IFERROR(ROUND(IF(AND('Расчет участников НИР'!$A104='Состав ВТК'!$B97,'Расчет участников НИР'!$U$10='Состав ВТК'!$I97),$E104,0),2),"-")</f>
        <v>0</v>
      </c>
      <c r="V104" s="298">
        <f>IFERROR(ROUND(IF(AND('Расчет участников НИР'!$A104='Состав ВТК'!$B97,'Расчет участников НИР'!$V$10='Состав ВТК'!$I97),$E104,0),2),"-")</f>
        <v>0</v>
      </c>
      <c r="W104" s="301" t="str">
        <f t="shared" si="18"/>
        <v>-</v>
      </c>
      <c r="X104" s="301" t="str">
        <f t="shared" si="19"/>
        <v>-</v>
      </c>
      <c r="Y104" s="301" t="str">
        <f t="shared" si="20"/>
        <v>-</v>
      </c>
    </row>
    <row r="105" spans="1:25" x14ac:dyDescent="0.25">
      <c r="A105" s="217">
        <f>'Состав ВТК'!B98</f>
        <v>0</v>
      </c>
      <c r="B105" s="290">
        <f>IFERROR(VLOOKUP($A105,Распределение!$B$13:$L$113,11,FALSE),"-")</f>
        <v>0</v>
      </c>
      <c r="C105" s="291" t="str">
        <f>IFERROR(IF(VLOOKUP($B105,Расценка!$H$3:$I$9,2,FALSE)="НС",Расценка!$T$11,Расценка!$T$12),"-")</f>
        <v>-</v>
      </c>
      <c r="D105" s="291">
        <f>IFERROR(INDEX(Распределение!$1:$1048576,MATCH($A105,Распределение!$B:$B,0),MATCH($D$8,Распределение!$9:$9,0)),"---")</f>
        <v>0</v>
      </c>
      <c r="E105" s="292">
        <f>IFERROR(SUMIFS('Трудозатраты членов ВТК'!$G$17:$G$117,'Трудозатраты членов ВТК'!$D$17:$D$117,A:A),"-")</f>
        <v>0</v>
      </c>
      <c r="F105" s="293">
        <f>IFERROR(SUMIFS('Трудозатраты членов ВТК'!$F$464:$F$713,'Трудозатраты членов ВТК'!$D$464:$D$713,A:A),"-")</f>
        <v>0</v>
      </c>
      <c r="G105" s="302"/>
      <c r="H105" s="295">
        <f t="shared" si="12"/>
        <v>0</v>
      </c>
      <c r="I105" s="296">
        <f>IFERROR(ROUND(IF('Состав ВТК'!$K98=справочник!$A$5,IF(AND('Расчет участников НИР'!$A105='Состав ВТК'!$B98,$I$10='Состав ВТК'!$I98),$F105*$D105*VLOOKUP('Расчет участников НИР'!$B105,Расценка!$C$3:$E$13,3,FALSE),0),0),2),"-")</f>
        <v>0</v>
      </c>
      <c r="J105" s="296">
        <f>IFERROR(ROUND(IF('Состав ВТК'!$K98=справочник!$A$5,IF(AND('Расчет участников НИР'!$A105='Состав ВТК'!$B98,$J$10='Состав ВТК'!$I98),$F105*$D105*VLOOKUP('Расчет участников НИР'!$B105,Расценка!$C$3:$E$13,3,FALSE),0),0),2),"-")</f>
        <v>0</v>
      </c>
      <c r="K105" s="296">
        <f>IFERROR(ROUND(IF('Состав ВТК'!$K98=справочник!$A$5,IF(AND('Расчет участников НИР'!$A105='Состав ВТК'!$B98,$K$10='Состав ВТК'!$I98),$F105*$D105*VLOOKUP('Расчет участников НИР'!$B105,Расценка!$C$3:$E$13,3,FALSE),0),0),2),"-")</f>
        <v>0</v>
      </c>
      <c r="L105" s="297"/>
      <c r="M105" s="295">
        <f t="shared" si="13"/>
        <v>0</v>
      </c>
      <c r="N105" s="298">
        <f>IFERROR(ROUND(IF('Состав ВТК'!$K98=справочник!$A$5,(IF(AND($A105='Состав ВТК'!$B98,$N$10=$C105),$F105*$D105*VLOOKUP($B105,Расценка!$H$3:$K$9,4,FALSE),0)),0),2),"-")</f>
        <v>0</v>
      </c>
      <c r="O105" s="298">
        <f>IFERROR(ROUND(IF('Состав ВТК'!$K98=справочник!$A$5,(IF(AND($A105='Состав ВТК'!$B98,$O$10=$C105),$F105*$D105*VLOOKUP($B105,Расценка!$H$3:$K$9,4,FALSE),0)),0),2),"-")</f>
        <v>0</v>
      </c>
      <c r="P105" s="299">
        <f t="shared" si="14"/>
        <v>0</v>
      </c>
      <c r="Q105" s="300">
        <f t="shared" si="15"/>
        <v>0</v>
      </c>
      <c r="R105" s="300">
        <f t="shared" si="16"/>
        <v>0</v>
      </c>
      <c r="S105" s="295">
        <f t="shared" si="17"/>
        <v>0</v>
      </c>
      <c r="T105" s="298">
        <f>IFERROR(ROUND(IF(AND('Расчет участников НИР'!$A105='Состав ВТК'!$B98,'Расчет участников НИР'!$T$10='Состав ВТК'!$I98),$E105,0),2),"-")</f>
        <v>0</v>
      </c>
      <c r="U105" s="298">
        <f>IFERROR(ROUND(IF(AND('Расчет участников НИР'!$A105='Состав ВТК'!$B98,'Расчет участников НИР'!$U$10='Состав ВТК'!$I98),$E105,0),2),"-")</f>
        <v>0</v>
      </c>
      <c r="V105" s="298">
        <f>IFERROR(ROUND(IF(AND('Расчет участников НИР'!$A105='Состав ВТК'!$B98,'Расчет участников НИР'!$V$10='Состав ВТК'!$I98),$E105,0),2),"-")</f>
        <v>0</v>
      </c>
      <c r="W105" s="301" t="str">
        <f t="shared" si="18"/>
        <v>-</v>
      </c>
      <c r="X105" s="301" t="str">
        <f t="shared" si="19"/>
        <v>-</v>
      </c>
      <c r="Y105" s="301" t="str">
        <f t="shared" si="20"/>
        <v>-</v>
      </c>
    </row>
    <row r="106" spans="1:25" x14ac:dyDescent="0.25">
      <c r="A106" s="217">
        <f>'Состав ВТК'!B99</f>
        <v>0</v>
      </c>
      <c r="B106" s="290">
        <f>IFERROR(VLOOKUP($A106,Распределение!$B$13:$L$113,11,FALSE),"-")</f>
        <v>0</v>
      </c>
      <c r="C106" s="291" t="str">
        <f>IFERROR(IF(VLOOKUP($B106,Расценка!$H$3:$I$9,2,FALSE)="НС",Расценка!$T$11,Расценка!$T$12),"-")</f>
        <v>-</v>
      </c>
      <c r="D106" s="291">
        <f>IFERROR(INDEX(Распределение!$1:$1048576,MATCH($A106,Распределение!$B:$B,0),MATCH($D$8,Распределение!$9:$9,0)),"---")</f>
        <v>0</v>
      </c>
      <c r="E106" s="292">
        <f>IFERROR(SUMIFS('Трудозатраты членов ВТК'!$G$17:$G$117,'Трудозатраты членов ВТК'!$D$17:$D$117,A:A),"-")</f>
        <v>0</v>
      </c>
      <c r="F106" s="293">
        <f>IFERROR(SUMIFS('Трудозатраты членов ВТК'!$F$464:$F$713,'Трудозатраты членов ВТК'!$D$464:$D$713,A:A),"-")</f>
        <v>0</v>
      </c>
      <c r="G106" s="302"/>
      <c r="H106" s="295">
        <f t="shared" si="12"/>
        <v>0</v>
      </c>
      <c r="I106" s="296">
        <f>IFERROR(ROUND(IF('Состав ВТК'!$K99=справочник!$A$5,IF(AND('Расчет участников НИР'!$A106='Состав ВТК'!$B99,$I$10='Состав ВТК'!$I99),$F106*$D106*VLOOKUP('Расчет участников НИР'!$B106,Расценка!$C$3:$E$13,3,FALSE),0),0),2),"-")</f>
        <v>0</v>
      </c>
      <c r="J106" s="296">
        <f>IFERROR(ROUND(IF('Состав ВТК'!$K99=справочник!$A$5,IF(AND('Расчет участников НИР'!$A106='Состав ВТК'!$B99,$J$10='Состав ВТК'!$I99),$F106*$D106*VLOOKUP('Расчет участников НИР'!$B106,Расценка!$C$3:$E$13,3,FALSE),0),0),2),"-")</f>
        <v>0</v>
      </c>
      <c r="K106" s="296">
        <f>IFERROR(ROUND(IF('Состав ВТК'!$K99=справочник!$A$5,IF(AND('Расчет участников НИР'!$A106='Состав ВТК'!$B99,$K$10='Состав ВТК'!$I99),$F106*$D106*VLOOKUP('Расчет участников НИР'!$B106,Расценка!$C$3:$E$13,3,FALSE),0),0),2),"-")</f>
        <v>0</v>
      </c>
      <c r="L106" s="297"/>
      <c r="M106" s="295">
        <f t="shared" si="13"/>
        <v>0</v>
      </c>
      <c r="N106" s="298">
        <f>IFERROR(ROUND(IF('Состав ВТК'!$K99=справочник!$A$5,(IF(AND($A106='Состав ВТК'!$B99,$N$10=$C106),$F106*$D106*VLOOKUP($B106,Расценка!$H$3:$K$9,4,FALSE),0)),0),2),"-")</f>
        <v>0</v>
      </c>
      <c r="O106" s="298">
        <f>IFERROR(ROUND(IF('Состав ВТК'!$K99=справочник!$A$5,(IF(AND($A106='Состав ВТК'!$B99,$O$10=$C106),$F106*$D106*VLOOKUP($B106,Расценка!$H$3:$K$9,4,FALSE),0)),0),2),"-")</f>
        <v>0</v>
      </c>
      <c r="P106" s="299">
        <f t="shared" si="14"/>
        <v>0</v>
      </c>
      <c r="Q106" s="300">
        <f t="shared" si="15"/>
        <v>0</v>
      </c>
      <c r="R106" s="300">
        <f t="shared" si="16"/>
        <v>0</v>
      </c>
      <c r="S106" s="295">
        <f t="shared" si="17"/>
        <v>0</v>
      </c>
      <c r="T106" s="298">
        <f>IFERROR(ROUND(IF(AND('Расчет участников НИР'!$A106='Состав ВТК'!$B99,'Расчет участников НИР'!$T$10='Состав ВТК'!$I99),$E106,0),2),"-")</f>
        <v>0</v>
      </c>
      <c r="U106" s="298">
        <f>IFERROR(ROUND(IF(AND('Расчет участников НИР'!$A106='Состав ВТК'!$B99,'Расчет участников НИР'!$U$10='Состав ВТК'!$I99),$E106,0),2),"-")</f>
        <v>0</v>
      </c>
      <c r="V106" s="298">
        <f>IFERROR(ROUND(IF(AND('Расчет участников НИР'!$A106='Состав ВТК'!$B99,'Расчет участников НИР'!$V$10='Состав ВТК'!$I99),$E106,0),2),"-")</f>
        <v>0</v>
      </c>
      <c r="W106" s="301" t="str">
        <f t="shared" si="18"/>
        <v>-</v>
      </c>
      <c r="X106" s="301" t="str">
        <f t="shared" si="19"/>
        <v>-</v>
      </c>
      <c r="Y106" s="301" t="str">
        <f t="shared" si="20"/>
        <v>-</v>
      </c>
    </row>
    <row r="107" spans="1:25" x14ac:dyDescent="0.25">
      <c r="A107" s="217">
        <f>'Состав ВТК'!B100</f>
        <v>0</v>
      </c>
      <c r="B107" s="290">
        <f>IFERROR(VLOOKUP($A107,Распределение!$B$13:$L$113,11,FALSE),"-")</f>
        <v>0</v>
      </c>
      <c r="C107" s="291" t="str">
        <f>IFERROR(IF(VLOOKUP($B107,Расценка!$H$3:$I$9,2,FALSE)="НС",Расценка!$T$11,Расценка!$T$12),"-")</f>
        <v>-</v>
      </c>
      <c r="D107" s="291">
        <f>IFERROR(INDEX(Распределение!$1:$1048576,MATCH($A107,Распределение!$B:$B,0),MATCH($D$8,Распределение!$9:$9,0)),"---")</f>
        <v>0</v>
      </c>
      <c r="E107" s="292">
        <f>IFERROR(SUMIFS('Трудозатраты членов ВТК'!$G$17:$G$117,'Трудозатраты членов ВТК'!$D$17:$D$117,A:A),"-")</f>
        <v>0</v>
      </c>
      <c r="F107" s="293">
        <f>IFERROR(SUMIFS('Трудозатраты членов ВТК'!$F$464:$F$713,'Трудозатраты членов ВТК'!$D$464:$D$713,A:A),"-")</f>
        <v>0</v>
      </c>
      <c r="G107" s="302"/>
      <c r="H107" s="295">
        <f t="shared" si="12"/>
        <v>0</v>
      </c>
      <c r="I107" s="296">
        <f>IFERROR(ROUND(IF('Состав ВТК'!$K100=справочник!$A$5,IF(AND('Расчет участников НИР'!$A107='Состав ВТК'!$B100,$I$10='Состав ВТК'!$I100),$F107*$D107*VLOOKUP('Расчет участников НИР'!$B107,Расценка!$C$3:$E$13,3,FALSE),0),0),2),"-")</f>
        <v>0</v>
      </c>
      <c r="J107" s="296">
        <f>IFERROR(ROUND(IF('Состав ВТК'!$K100=справочник!$A$5,IF(AND('Расчет участников НИР'!$A107='Состав ВТК'!$B100,$J$10='Состав ВТК'!$I100),$F107*$D107*VLOOKUP('Расчет участников НИР'!$B107,Расценка!$C$3:$E$13,3,FALSE),0),0),2),"-")</f>
        <v>0</v>
      </c>
      <c r="K107" s="296">
        <f>IFERROR(ROUND(IF('Состав ВТК'!$K100=справочник!$A$5,IF(AND('Расчет участников НИР'!$A107='Состав ВТК'!$B100,$K$10='Состав ВТК'!$I100),$F107*$D107*VLOOKUP('Расчет участников НИР'!$B107,Расценка!$C$3:$E$13,3,FALSE),0),0),2),"-")</f>
        <v>0</v>
      </c>
      <c r="L107" s="297"/>
      <c r="M107" s="295">
        <f t="shared" si="13"/>
        <v>0</v>
      </c>
      <c r="N107" s="298">
        <f>IFERROR(ROUND(IF('Состав ВТК'!$K100=справочник!$A$5,(IF(AND($A107='Состав ВТК'!$B100,$N$10=$C107),$F107*$D107*VLOOKUP($B107,Расценка!$H$3:$K$9,4,FALSE),0)),0),2),"-")</f>
        <v>0</v>
      </c>
      <c r="O107" s="298">
        <f>IFERROR(ROUND(IF('Состав ВТК'!$K100=справочник!$A$5,(IF(AND($A107='Состав ВТК'!$B100,$O$10=$C107),$F107*$D107*VLOOKUP($B107,Расценка!$H$3:$K$9,4,FALSE),0)),0),2),"-")</f>
        <v>0</v>
      </c>
      <c r="P107" s="299">
        <f t="shared" si="14"/>
        <v>0</v>
      </c>
      <c r="Q107" s="300">
        <f t="shared" si="15"/>
        <v>0</v>
      </c>
      <c r="R107" s="300">
        <f t="shared" si="16"/>
        <v>0</v>
      </c>
      <c r="S107" s="295">
        <f t="shared" si="17"/>
        <v>0</v>
      </c>
      <c r="T107" s="298">
        <f>IFERROR(ROUND(IF(AND('Расчет участников НИР'!$A107='Состав ВТК'!$B100,'Расчет участников НИР'!$T$10='Состав ВТК'!$I100),$E107,0),2),"-")</f>
        <v>0</v>
      </c>
      <c r="U107" s="298">
        <f>IFERROR(ROUND(IF(AND('Расчет участников НИР'!$A107='Состав ВТК'!$B100,'Расчет участников НИР'!$U$10='Состав ВТК'!$I100),$E107,0),2),"-")</f>
        <v>0</v>
      </c>
      <c r="V107" s="298">
        <f>IFERROR(ROUND(IF(AND('Расчет участников НИР'!$A107='Состав ВТК'!$B100,'Расчет участников НИР'!$V$10='Состав ВТК'!$I100),$E107,0),2),"-")</f>
        <v>0</v>
      </c>
      <c r="W107" s="301" t="str">
        <f t="shared" si="18"/>
        <v>-</v>
      </c>
      <c r="X107" s="301" t="str">
        <f t="shared" si="19"/>
        <v>-</v>
      </c>
      <c r="Y107" s="301" t="str">
        <f t="shared" si="20"/>
        <v>-</v>
      </c>
    </row>
    <row r="108" spans="1:25" x14ac:dyDescent="0.25">
      <c r="A108" s="217">
        <f>'Состав ВТК'!B101</f>
        <v>0</v>
      </c>
      <c r="B108" s="290">
        <f>IFERROR(VLOOKUP($A108,Распределение!$B$13:$L$113,11,FALSE),"-")</f>
        <v>0</v>
      </c>
      <c r="C108" s="291" t="str">
        <f>IFERROR(IF(VLOOKUP($B108,Расценка!$H$3:$I$9,2,FALSE)="НС",Расценка!$T$11,Расценка!$T$12),"-")</f>
        <v>-</v>
      </c>
      <c r="D108" s="291">
        <f>IFERROR(INDEX(Распределение!$1:$1048576,MATCH($A108,Распределение!$B:$B,0),MATCH($D$8,Распределение!$9:$9,0)),"---")</f>
        <v>0</v>
      </c>
      <c r="E108" s="292">
        <f>IFERROR(SUMIFS('Трудозатраты членов ВТК'!$G$17:$G$117,'Трудозатраты членов ВТК'!$D$17:$D$117,A:A),"-")</f>
        <v>0</v>
      </c>
      <c r="F108" s="293">
        <f>IFERROR(SUMIFS('Трудозатраты членов ВТК'!$F$464:$F$713,'Трудозатраты членов ВТК'!$D$464:$D$713,A:A),"-")</f>
        <v>0</v>
      </c>
      <c r="G108" s="302"/>
      <c r="H108" s="295">
        <f t="shared" si="12"/>
        <v>0</v>
      </c>
      <c r="I108" s="296">
        <f>IFERROR(ROUND(IF('Состав ВТК'!$K101=справочник!$A$5,IF(AND('Расчет участников НИР'!$A108='Состав ВТК'!$B101,$I$10='Состав ВТК'!$I101),$F108*$D108*VLOOKUP('Расчет участников НИР'!$B108,Расценка!$C$3:$E$13,3,FALSE),0),0),2),"-")</f>
        <v>0</v>
      </c>
      <c r="J108" s="296">
        <f>IFERROR(ROUND(IF('Состав ВТК'!$K101=справочник!$A$5,IF(AND('Расчет участников НИР'!$A108='Состав ВТК'!$B101,$J$10='Состав ВТК'!$I101),$F108*$D108*VLOOKUP('Расчет участников НИР'!$B108,Расценка!$C$3:$E$13,3,FALSE),0),0),2),"-")</f>
        <v>0</v>
      </c>
      <c r="K108" s="296">
        <f>IFERROR(ROUND(IF('Состав ВТК'!$K101=справочник!$A$5,IF(AND('Расчет участников НИР'!$A108='Состав ВТК'!$B101,$K$10='Состав ВТК'!$I101),$F108*$D108*VLOOKUP('Расчет участников НИР'!$B108,Расценка!$C$3:$E$13,3,FALSE),0),0),2),"-")</f>
        <v>0</v>
      </c>
      <c r="L108" s="297"/>
      <c r="M108" s="295">
        <f t="shared" si="13"/>
        <v>0</v>
      </c>
      <c r="N108" s="298">
        <f>IFERROR(ROUND(IF('Состав ВТК'!$K101=справочник!$A$5,(IF(AND($A108='Состав ВТК'!$B101,$N$10=$C108),$F108*$D108*VLOOKUP($B108,Расценка!$H$3:$K$9,4,FALSE),0)),0),2),"-")</f>
        <v>0</v>
      </c>
      <c r="O108" s="298">
        <f>IFERROR(ROUND(IF('Состав ВТК'!$K101=справочник!$A$5,(IF(AND($A108='Состав ВТК'!$B101,$O$10=$C108),$F108*$D108*VLOOKUP($B108,Расценка!$H$3:$K$9,4,FALSE),0)),0),2),"-")</f>
        <v>0</v>
      </c>
      <c r="P108" s="299">
        <f t="shared" si="14"/>
        <v>0</v>
      </c>
      <c r="Q108" s="300">
        <f t="shared" si="15"/>
        <v>0</v>
      </c>
      <c r="R108" s="300">
        <f t="shared" si="16"/>
        <v>0</v>
      </c>
      <c r="S108" s="295">
        <f t="shared" si="17"/>
        <v>0</v>
      </c>
      <c r="T108" s="298">
        <f>IFERROR(ROUND(IF(AND('Расчет участников НИР'!$A108='Состав ВТК'!$B101,'Расчет участников НИР'!$T$10='Состав ВТК'!$I101),$E108,0),2),"-")</f>
        <v>0</v>
      </c>
      <c r="U108" s="298">
        <f>IFERROR(ROUND(IF(AND('Расчет участников НИР'!$A108='Состав ВТК'!$B101,'Расчет участников НИР'!$U$10='Состав ВТК'!$I101),$E108,0),2),"-")</f>
        <v>0</v>
      </c>
      <c r="V108" s="298">
        <f>IFERROR(ROUND(IF(AND('Расчет участников НИР'!$A108='Состав ВТК'!$B101,'Расчет участников НИР'!$V$10='Состав ВТК'!$I101),$E108,0),2),"-")</f>
        <v>0</v>
      </c>
      <c r="W108" s="301" t="str">
        <f t="shared" si="18"/>
        <v>-</v>
      </c>
      <c r="X108" s="301" t="str">
        <f t="shared" si="19"/>
        <v>-</v>
      </c>
      <c r="Y108" s="301" t="str">
        <f t="shared" si="20"/>
        <v>-</v>
      </c>
    </row>
    <row r="109" spans="1:25" x14ac:dyDescent="0.25">
      <c r="A109" s="217">
        <f>'Состав ВТК'!B102</f>
        <v>0</v>
      </c>
      <c r="B109" s="290">
        <f>IFERROR(VLOOKUP($A109,Распределение!$B$13:$L$113,11,FALSE),"-")</f>
        <v>0</v>
      </c>
      <c r="C109" s="291" t="str">
        <f>IFERROR(IF(VLOOKUP($B109,Расценка!$H$3:$I$9,2,FALSE)="НС",Расценка!$T$11,Расценка!$T$12),"-")</f>
        <v>-</v>
      </c>
      <c r="D109" s="291">
        <f>IFERROR(INDEX(Распределение!$1:$1048576,MATCH($A109,Распределение!$B:$B,0),MATCH($D$8,Распределение!$9:$9,0)),"---")</f>
        <v>0</v>
      </c>
      <c r="E109" s="292">
        <f>IFERROR(SUMIFS('Трудозатраты членов ВТК'!$G$17:$G$117,'Трудозатраты членов ВТК'!$D$17:$D$117,A:A),"-")</f>
        <v>0</v>
      </c>
      <c r="F109" s="293">
        <f>IFERROR(SUMIFS('Трудозатраты членов ВТК'!$F$464:$F$713,'Трудозатраты членов ВТК'!$D$464:$D$713,A:A),"-")</f>
        <v>0</v>
      </c>
      <c r="G109" s="302"/>
      <c r="H109" s="295">
        <f t="shared" si="12"/>
        <v>0</v>
      </c>
      <c r="I109" s="296">
        <f>IFERROR(ROUND(IF('Состав ВТК'!$K102=справочник!$A$5,IF(AND('Расчет участников НИР'!$A109='Состав ВТК'!$B102,$I$10='Состав ВТК'!$I102),$F109*$D109*VLOOKUP('Расчет участников НИР'!$B109,Расценка!$C$3:$E$13,3,FALSE),0),0),2),"-")</f>
        <v>0</v>
      </c>
      <c r="J109" s="296">
        <f>IFERROR(ROUND(IF('Состав ВТК'!$K102=справочник!$A$5,IF(AND('Расчет участников НИР'!$A109='Состав ВТК'!$B102,$J$10='Состав ВТК'!$I102),$F109*$D109*VLOOKUP('Расчет участников НИР'!$B109,Расценка!$C$3:$E$13,3,FALSE),0),0),2),"-")</f>
        <v>0</v>
      </c>
      <c r="K109" s="296">
        <f>IFERROR(ROUND(IF('Состав ВТК'!$K102=справочник!$A$5,IF(AND('Расчет участников НИР'!$A109='Состав ВТК'!$B102,$K$10='Состав ВТК'!$I102),$F109*$D109*VLOOKUP('Расчет участников НИР'!$B109,Расценка!$C$3:$E$13,3,FALSE),0),0),2),"-")</f>
        <v>0</v>
      </c>
      <c r="L109" s="297"/>
      <c r="M109" s="295">
        <f t="shared" si="13"/>
        <v>0</v>
      </c>
      <c r="N109" s="298">
        <f>IFERROR(ROUND(IF('Состав ВТК'!$K102=справочник!$A$5,(IF(AND($A109='Состав ВТК'!$B102,$N$10=$C109),$F109*$D109*VLOOKUP($B109,Расценка!$H$3:$K$9,4,FALSE),0)),0),2),"-")</f>
        <v>0</v>
      </c>
      <c r="O109" s="298">
        <f>IFERROR(ROUND(IF('Состав ВТК'!$K102=справочник!$A$5,(IF(AND($A109='Состав ВТК'!$B102,$O$10=$C109),$F109*$D109*VLOOKUP($B109,Расценка!$H$3:$K$9,4,FALSE),0)),0),2),"-")</f>
        <v>0</v>
      </c>
      <c r="P109" s="299">
        <f t="shared" si="14"/>
        <v>0</v>
      </c>
      <c r="Q109" s="300">
        <f t="shared" si="15"/>
        <v>0</v>
      </c>
      <c r="R109" s="300">
        <f t="shared" si="16"/>
        <v>0</v>
      </c>
      <c r="S109" s="295">
        <f t="shared" si="17"/>
        <v>0</v>
      </c>
      <c r="T109" s="298">
        <f>IFERROR(ROUND(IF(AND('Расчет участников НИР'!$A109='Состав ВТК'!$B102,'Расчет участников НИР'!$T$10='Состав ВТК'!$I102),$E109,0),2),"-")</f>
        <v>0</v>
      </c>
      <c r="U109" s="298">
        <f>IFERROR(ROUND(IF(AND('Расчет участников НИР'!$A109='Состав ВТК'!$B102,'Расчет участников НИР'!$U$10='Состав ВТК'!$I102),$E109,0),2),"-")</f>
        <v>0</v>
      </c>
      <c r="V109" s="298">
        <f>IFERROR(ROUND(IF(AND('Расчет участников НИР'!$A109='Состав ВТК'!$B102,'Расчет участников НИР'!$V$10='Состав ВТК'!$I102),$E109,0),2),"-")</f>
        <v>0</v>
      </c>
      <c r="W109" s="301" t="str">
        <f t="shared" si="18"/>
        <v>-</v>
      </c>
      <c r="X109" s="301" t="str">
        <f t="shared" si="19"/>
        <v>-</v>
      </c>
      <c r="Y109" s="301" t="str">
        <f t="shared" si="20"/>
        <v>-</v>
      </c>
    </row>
    <row r="110" spans="1:25" x14ac:dyDescent="0.25">
      <c r="A110" s="217">
        <f>'Состав ВТК'!B103</f>
        <v>0</v>
      </c>
      <c r="B110" s="290">
        <f>IFERROR(VLOOKUP($A110,Распределение!$B$13:$L$113,11,FALSE),"-")</f>
        <v>0</v>
      </c>
      <c r="C110" s="291" t="str">
        <f>IFERROR(IF(VLOOKUP($B110,Расценка!$H$3:$I$9,2,FALSE)="НС",Расценка!$T$11,Расценка!$T$12),"-")</f>
        <v>-</v>
      </c>
      <c r="D110" s="291">
        <f>IFERROR(INDEX(Распределение!$1:$1048576,MATCH($A110,Распределение!$B:$B,0),MATCH($D$8,Распределение!$9:$9,0)),"---")</f>
        <v>0</v>
      </c>
      <c r="E110" s="292">
        <f>IFERROR(SUMIFS('Трудозатраты членов ВТК'!$G$17:$G$117,'Трудозатраты членов ВТК'!$D$17:$D$117,A:A),"-")</f>
        <v>0</v>
      </c>
      <c r="F110" s="293">
        <f>IFERROR(SUMIFS('Трудозатраты членов ВТК'!$F$464:$F$713,'Трудозатраты членов ВТК'!$D$464:$D$713,A:A),"-")</f>
        <v>0</v>
      </c>
      <c r="G110" s="302"/>
      <c r="H110" s="295">
        <f t="shared" si="12"/>
        <v>0</v>
      </c>
      <c r="I110" s="296">
        <f>IFERROR(ROUND(IF('Состав ВТК'!$K103=справочник!$A$5,IF(AND('Расчет участников НИР'!$A110='Состав ВТК'!$B103,$I$10='Состав ВТК'!$I103),$F110*$D110*VLOOKUP('Расчет участников НИР'!$B110,Расценка!$C$3:$E$13,3,FALSE),0),0),2),"-")</f>
        <v>0</v>
      </c>
      <c r="J110" s="296">
        <f>IFERROR(ROUND(IF('Состав ВТК'!$K103=справочник!$A$5,IF(AND('Расчет участников НИР'!$A110='Состав ВТК'!$B103,$J$10='Состав ВТК'!$I103),$F110*$D110*VLOOKUP('Расчет участников НИР'!$B110,Расценка!$C$3:$E$13,3,FALSE),0),0),2),"-")</f>
        <v>0</v>
      </c>
      <c r="K110" s="296">
        <f>IFERROR(ROUND(IF('Состав ВТК'!$K103=справочник!$A$5,IF(AND('Расчет участников НИР'!$A110='Состав ВТК'!$B103,$K$10='Состав ВТК'!$I103),$F110*$D110*VLOOKUP('Расчет участников НИР'!$B110,Расценка!$C$3:$E$13,3,FALSE),0),0),2),"-")</f>
        <v>0</v>
      </c>
      <c r="L110" s="297"/>
      <c r="M110" s="295">
        <f t="shared" si="13"/>
        <v>0</v>
      </c>
      <c r="N110" s="298">
        <f>IFERROR(ROUND(IF('Состав ВТК'!$K103=справочник!$A$5,(IF(AND($A110='Состав ВТК'!$B103,$N$10=$C110),$F110*$D110*VLOOKUP($B110,Расценка!$H$3:$K$9,4,FALSE),0)),0),2),"-")</f>
        <v>0</v>
      </c>
      <c r="O110" s="298">
        <f>IFERROR(ROUND(IF('Состав ВТК'!$K103=справочник!$A$5,(IF(AND($A110='Состав ВТК'!$B103,$O$10=$C110),$F110*$D110*VLOOKUP($B110,Расценка!$H$3:$K$9,4,FALSE),0)),0),2),"-")</f>
        <v>0</v>
      </c>
      <c r="P110" s="299">
        <f t="shared" si="14"/>
        <v>0</v>
      </c>
      <c r="Q110" s="300">
        <f t="shared" si="15"/>
        <v>0</v>
      </c>
      <c r="R110" s="300">
        <f t="shared" si="16"/>
        <v>0</v>
      </c>
      <c r="S110" s="295">
        <f t="shared" si="17"/>
        <v>0</v>
      </c>
      <c r="T110" s="298">
        <f>IFERROR(ROUND(IF(AND('Расчет участников НИР'!$A110='Состав ВТК'!$B103,'Расчет участников НИР'!$T$10='Состав ВТК'!$I103),$E110,0),2),"-")</f>
        <v>0</v>
      </c>
      <c r="U110" s="298">
        <f>IFERROR(ROUND(IF(AND('Расчет участников НИР'!$A110='Состав ВТК'!$B103,'Расчет участников НИР'!$U$10='Состав ВТК'!$I103),$E110,0),2),"-")</f>
        <v>0</v>
      </c>
      <c r="V110" s="298">
        <f>IFERROR(ROUND(IF(AND('Расчет участников НИР'!$A110='Состав ВТК'!$B103,'Расчет участников НИР'!$V$10='Состав ВТК'!$I103),$E110,0),2),"-")</f>
        <v>0</v>
      </c>
      <c r="W110" s="301" t="str">
        <f t="shared" si="18"/>
        <v>-</v>
      </c>
      <c r="X110" s="301" t="str">
        <f t="shared" si="19"/>
        <v>-</v>
      </c>
      <c r="Y110" s="301" t="str">
        <f t="shared" si="20"/>
        <v>-</v>
      </c>
    </row>
    <row r="111" spans="1:25" x14ac:dyDescent="0.25">
      <c r="A111" s="217">
        <f>'Состав ВТК'!B104</f>
        <v>0</v>
      </c>
      <c r="B111" s="290">
        <f>IFERROR(VLOOKUP($A111,Распределение!$B$13:$L$113,11,FALSE),"-")</f>
        <v>0</v>
      </c>
      <c r="C111" s="291" t="str">
        <f>IFERROR(IF(VLOOKUP($B111,Расценка!$H$3:$I$9,2,FALSE)="НС",Расценка!$T$11,Расценка!$T$12),"-")</f>
        <v>-</v>
      </c>
      <c r="D111" s="291">
        <f>IFERROR(INDEX(Распределение!$1:$1048576,MATCH($A111,Распределение!$B:$B,0),MATCH($D$8,Распределение!$9:$9,0)),"---")</f>
        <v>0</v>
      </c>
      <c r="E111" s="292">
        <f>IFERROR(SUMIFS('Трудозатраты членов ВТК'!$G$17:$G$117,'Трудозатраты членов ВТК'!$D$17:$D$117,A:A),"-")</f>
        <v>0</v>
      </c>
      <c r="F111" s="293">
        <f>IFERROR(SUMIFS('Трудозатраты членов ВТК'!$F$464:$F$713,'Трудозатраты членов ВТК'!$D$464:$D$713,A:A),"-")</f>
        <v>0</v>
      </c>
      <c r="G111" s="302"/>
      <c r="H111" s="295">
        <f t="shared" ref="H111:H174" si="21">SUM(I111:K111)</f>
        <v>0</v>
      </c>
      <c r="I111" s="296">
        <f>IFERROR(ROUND(IF('Состав ВТК'!$K104=справочник!$A$5,IF(AND('Расчет участников НИР'!$A111='Состав ВТК'!$B104,$I$10='Состав ВТК'!$I104),$F111*$D111*VLOOKUP('Расчет участников НИР'!$B111,Расценка!$C$3:$E$13,3,FALSE),0),0),2),"-")</f>
        <v>0</v>
      </c>
      <c r="J111" s="296">
        <f>IFERROR(ROUND(IF('Состав ВТК'!$K104=справочник!$A$5,IF(AND('Расчет участников НИР'!$A111='Состав ВТК'!$B104,$J$10='Состав ВТК'!$I104),$F111*$D111*VLOOKUP('Расчет участников НИР'!$B111,Расценка!$C$3:$E$13,3,FALSE),0),0),2),"-")</f>
        <v>0</v>
      </c>
      <c r="K111" s="296">
        <f>IFERROR(ROUND(IF('Состав ВТК'!$K104=справочник!$A$5,IF(AND('Расчет участников НИР'!$A111='Состав ВТК'!$B104,$K$10='Состав ВТК'!$I104),$F111*$D111*VLOOKUP('Расчет участников НИР'!$B111,Расценка!$C$3:$E$13,3,FALSE),0),0),2),"-")</f>
        <v>0</v>
      </c>
      <c r="L111" s="297"/>
      <c r="M111" s="295">
        <f t="shared" ref="M111:M174" si="22">SUM(N111:O111)</f>
        <v>0</v>
      </c>
      <c r="N111" s="298">
        <f>IFERROR(ROUND(IF('Состав ВТК'!$K104=справочник!$A$5,(IF(AND($A111='Состав ВТК'!$B104,$N$10=$C111),$F111*$D111*VLOOKUP($B111,Расценка!$H$3:$K$9,4,FALSE),0)),0),2),"-")</f>
        <v>0</v>
      </c>
      <c r="O111" s="298">
        <f>IFERROR(ROUND(IF('Состав ВТК'!$K104=справочник!$A$5,(IF(AND($A111='Состав ВТК'!$B104,$O$10=$C111),$F111*$D111*VLOOKUP($B111,Расценка!$H$3:$K$9,4,FALSE),0)),0),2),"-")</f>
        <v>0</v>
      </c>
      <c r="P111" s="299">
        <f t="shared" ref="P111:P174" si="23">H111-M111</f>
        <v>0</v>
      </c>
      <c r="Q111" s="300">
        <f t="shared" si="15"/>
        <v>0</v>
      </c>
      <c r="R111" s="300">
        <f t="shared" si="16"/>
        <v>0</v>
      </c>
      <c r="S111" s="295">
        <f t="shared" ref="S111:S174" si="24">SUM(T111:V111)</f>
        <v>0</v>
      </c>
      <c r="T111" s="298">
        <f>IFERROR(ROUND(IF(AND('Расчет участников НИР'!$A111='Состав ВТК'!$B104,'Расчет участников НИР'!$T$10='Состав ВТК'!$I104),$E111,0),2),"-")</f>
        <v>0</v>
      </c>
      <c r="U111" s="298">
        <f>IFERROR(ROUND(IF(AND('Расчет участников НИР'!$A111='Состав ВТК'!$B104,'Расчет участников НИР'!$U$10='Состав ВТК'!$I104),$E111,0),2),"-")</f>
        <v>0</v>
      </c>
      <c r="V111" s="298">
        <f>IFERROR(ROUND(IF(AND('Расчет участников НИР'!$A111='Состав ВТК'!$B104,'Расчет участников НИР'!$V$10='Состав ВТК'!$I104),$E111,0),2),"-")</f>
        <v>0</v>
      </c>
      <c r="W111" s="301" t="str">
        <f t="shared" ref="W111:W174" si="25">IFERROR(T111/$S111,"-")</f>
        <v>-</v>
      </c>
      <c r="X111" s="301" t="str">
        <f t="shared" ref="X111:X174" si="26">IFERROR(U111/$S111,"-")</f>
        <v>-</v>
      </c>
      <c r="Y111" s="301" t="str">
        <f t="shared" ref="Y111:Y174" si="27">IFERROR(V111/$S111,"-")</f>
        <v>-</v>
      </c>
    </row>
    <row r="112" spans="1:25" x14ac:dyDescent="0.25">
      <c r="A112" s="217">
        <f>'Состав ВТК'!B105</f>
        <v>0</v>
      </c>
      <c r="B112" s="290">
        <f>IFERROR(VLOOKUP($A112,Распределение!$B$13:$L$113,11,FALSE),"-")</f>
        <v>0</v>
      </c>
      <c r="C112" s="291" t="str">
        <f>IFERROR(IF(VLOOKUP($B112,Расценка!$H$3:$I$9,2,FALSE)="НС",Расценка!$T$11,Расценка!$T$12),"-")</f>
        <v>-</v>
      </c>
      <c r="D112" s="291">
        <f>IFERROR(INDEX(Распределение!$1:$1048576,MATCH($A112,Распределение!$B:$B,0),MATCH($D$8,Распределение!$9:$9,0)),"---")</f>
        <v>0</v>
      </c>
      <c r="E112" s="292">
        <f>IFERROR(SUMIFS('Трудозатраты членов ВТК'!$G$17:$G$117,'Трудозатраты членов ВТК'!$D$17:$D$117,A:A),"-")</f>
        <v>0</v>
      </c>
      <c r="F112" s="293">
        <f>IFERROR(SUMIFS('Трудозатраты членов ВТК'!$F$464:$F$713,'Трудозатраты членов ВТК'!$D$464:$D$713,A:A),"-")</f>
        <v>0</v>
      </c>
      <c r="G112" s="302"/>
      <c r="H112" s="295">
        <f t="shared" si="21"/>
        <v>0</v>
      </c>
      <c r="I112" s="296">
        <f>IFERROR(ROUND(IF('Состав ВТК'!$K105=справочник!$A$5,IF(AND('Расчет участников НИР'!$A112='Состав ВТК'!$B105,$I$10='Состав ВТК'!$I105),$F112*$D112*VLOOKUP('Расчет участников НИР'!$B112,Расценка!$C$3:$E$13,3,FALSE),0),0),2),"-")</f>
        <v>0</v>
      </c>
      <c r="J112" s="296">
        <f>IFERROR(ROUND(IF('Состав ВТК'!$K105=справочник!$A$5,IF(AND('Расчет участников НИР'!$A112='Состав ВТК'!$B105,$J$10='Состав ВТК'!$I105),$F112*$D112*VLOOKUP('Расчет участников НИР'!$B112,Расценка!$C$3:$E$13,3,FALSE),0),0),2),"-")</f>
        <v>0</v>
      </c>
      <c r="K112" s="296">
        <f>IFERROR(ROUND(IF('Состав ВТК'!$K105=справочник!$A$5,IF(AND('Расчет участников НИР'!$A112='Состав ВТК'!$B105,$K$10='Состав ВТК'!$I105),$F112*$D112*VLOOKUP('Расчет участников НИР'!$B112,Расценка!$C$3:$E$13,3,FALSE),0),0),2),"-")</f>
        <v>0</v>
      </c>
      <c r="L112" s="297"/>
      <c r="M112" s="295">
        <f t="shared" si="22"/>
        <v>0</v>
      </c>
      <c r="N112" s="298">
        <f>IFERROR(ROUND(IF('Состав ВТК'!$K105=справочник!$A$5,(IF(AND($A112='Состав ВТК'!$B105,$N$10=$C112),$F112*$D112*VLOOKUP($B112,Расценка!$H$3:$K$9,4,FALSE),0)),0),2),"-")</f>
        <v>0</v>
      </c>
      <c r="O112" s="298">
        <f>IFERROR(ROUND(IF('Состав ВТК'!$K105=справочник!$A$5,(IF(AND($A112='Состав ВТК'!$B105,$O$10=$C112),$F112*$D112*VLOOKUP($B112,Расценка!$H$3:$K$9,4,FALSE),0)),0),2),"-")</f>
        <v>0</v>
      </c>
      <c r="P112" s="299">
        <f t="shared" si="23"/>
        <v>0</v>
      </c>
      <c r="Q112" s="300">
        <f t="shared" si="15"/>
        <v>0</v>
      </c>
      <c r="R112" s="300">
        <f t="shared" si="16"/>
        <v>0</v>
      </c>
      <c r="S112" s="295">
        <f t="shared" si="24"/>
        <v>0</v>
      </c>
      <c r="T112" s="298">
        <f>IFERROR(ROUND(IF(AND('Расчет участников НИР'!$A112='Состав ВТК'!$B105,'Расчет участников НИР'!$T$10='Состав ВТК'!$I105),$E112,0),2),"-")</f>
        <v>0</v>
      </c>
      <c r="U112" s="298">
        <f>IFERROR(ROUND(IF(AND('Расчет участников НИР'!$A112='Состав ВТК'!$B105,'Расчет участников НИР'!$U$10='Состав ВТК'!$I105),$E112,0),2),"-")</f>
        <v>0</v>
      </c>
      <c r="V112" s="298">
        <f>IFERROR(ROUND(IF(AND('Расчет участников НИР'!$A112='Состав ВТК'!$B105,'Расчет участников НИР'!$V$10='Состав ВТК'!$I105),$E112,0),2),"-")</f>
        <v>0</v>
      </c>
      <c r="W112" s="301" t="str">
        <f t="shared" si="25"/>
        <v>-</v>
      </c>
      <c r="X112" s="301" t="str">
        <f t="shared" si="26"/>
        <v>-</v>
      </c>
      <c r="Y112" s="301" t="str">
        <f t="shared" si="27"/>
        <v>-</v>
      </c>
    </row>
    <row r="113" spans="1:25" x14ac:dyDescent="0.25">
      <c r="A113" s="217">
        <f>'Состав ВТК'!B106</f>
        <v>0</v>
      </c>
      <c r="B113" s="290">
        <f>IFERROR(VLOOKUP($A113,Распределение!$B$13:$L$113,11,FALSE),"-")</f>
        <v>0</v>
      </c>
      <c r="C113" s="291" t="str">
        <f>IFERROR(IF(VLOOKUP($B113,Расценка!$H$3:$I$9,2,FALSE)="НС",Расценка!$T$11,Расценка!$T$12),"-")</f>
        <v>-</v>
      </c>
      <c r="D113" s="291">
        <f>IFERROR(INDEX(Распределение!$1:$1048576,MATCH($A113,Распределение!$B:$B,0),MATCH($D$8,Распределение!$9:$9,0)),"---")</f>
        <v>0</v>
      </c>
      <c r="E113" s="292">
        <f>IFERROR(SUMIFS('Трудозатраты членов ВТК'!$G$17:$G$117,'Трудозатраты членов ВТК'!$D$17:$D$117,A:A),"-")</f>
        <v>0</v>
      </c>
      <c r="F113" s="293">
        <f>IFERROR(SUMIFS('Трудозатраты членов ВТК'!$F$464:$F$713,'Трудозатраты членов ВТК'!$D$464:$D$713,A:A),"-")</f>
        <v>0</v>
      </c>
      <c r="G113" s="302"/>
      <c r="H113" s="295">
        <f t="shared" si="21"/>
        <v>0</v>
      </c>
      <c r="I113" s="296">
        <f>IFERROR(ROUND(IF('Состав ВТК'!$K106=справочник!$A$5,IF(AND('Расчет участников НИР'!$A113='Состав ВТК'!$B106,$I$10='Состав ВТК'!$I106),$F113*$D113*VLOOKUP('Расчет участников НИР'!$B113,Расценка!$C$3:$E$13,3,FALSE),0),0),2),"-")</f>
        <v>0</v>
      </c>
      <c r="J113" s="296">
        <f>IFERROR(ROUND(IF('Состав ВТК'!$K106=справочник!$A$5,IF(AND('Расчет участников НИР'!$A113='Состав ВТК'!$B106,$J$10='Состав ВТК'!$I106),$F113*$D113*VLOOKUP('Расчет участников НИР'!$B113,Расценка!$C$3:$E$13,3,FALSE),0),0),2),"-")</f>
        <v>0</v>
      </c>
      <c r="K113" s="296">
        <f>IFERROR(ROUND(IF('Состав ВТК'!$K106=справочник!$A$5,IF(AND('Расчет участников НИР'!$A113='Состав ВТК'!$B106,$K$10='Состав ВТК'!$I106),$F113*$D113*VLOOKUP('Расчет участников НИР'!$B113,Расценка!$C$3:$E$13,3,FALSE),0),0),2),"-")</f>
        <v>0</v>
      </c>
      <c r="L113" s="297"/>
      <c r="M113" s="295">
        <f t="shared" si="22"/>
        <v>0</v>
      </c>
      <c r="N113" s="298">
        <f>IFERROR(ROUND(IF('Состав ВТК'!$K106=справочник!$A$5,(IF(AND($A113='Состав ВТК'!$B106,$N$10=$C113),$F113*$D113*VLOOKUP($B113,Расценка!$H$3:$K$9,4,FALSE),0)),0),2),"-")</f>
        <v>0</v>
      </c>
      <c r="O113" s="298">
        <f>IFERROR(ROUND(IF('Состав ВТК'!$K106=справочник!$A$5,(IF(AND($A113='Состав ВТК'!$B106,$O$10=$C113),$F113*$D113*VLOOKUP($B113,Расценка!$H$3:$K$9,4,FALSE),0)),0),2),"-")</f>
        <v>0</v>
      </c>
      <c r="P113" s="299">
        <f t="shared" si="23"/>
        <v>0</v>
      </c>
      <c r="Q113" s="300">
        <f t="shared" si="15"/>
        <v>0</v>
      </c>
      <c r="R113" s="300">
        <f t="shared" si="16"/>
        <v>0</v>
      </c>
      <c r="S113" s="295">
        <f t="shared" si="24"/>
        <v>0</v>
      </c>
      <c r="T113" s="298">
        <f>IFERROR(ROUND(IF(AND('Расчет участников НИР'!$A113='Состав ВТК'!$B106,'Расчет участников НИР'!$T$10='Состав ВТК'!$I106),$E113,0),2),"-")</f>
        <v>0</v>
      </c>
      <c r="U113" s="298">
        <f>IFERROR(ROUND(IF(AND('Расчет участников НИР'!$A113='Состав ВТК'!$B106,'Расчет участников НИР'!$U$10='Состав ВТК'!$I106),$E113,0),2),"-")</f>
        <v>0</v>
      </c>
      <c r="V113" s="298">
        <f>IFERROR(ROUND(IF(AND('Расчет участников НИР'!$A113='Состав ВТК'!$B106,'Расчет участников НИР'!$V$10='Состав ВТК'!$I106),$E113,0),2),"-")</f>
        <v>0</v>
      </c>
      <c r="W113" s="301" t="str">
        <f t="shared" si="25"/>
        <v>-</v>
      </c>
      <c r="X113" s="301" t="str">
        <f t="shared" si="26"/>
        <v>-</v>
      </c>
      <c r="Y113" s="301" t="str">
        <f t="shared" si="27"/>
        <v>-</v>
      </c>
    </row>
    <row r="114" spans="1:25" x14ac:dyDescent="0.25">
      <c r="A114" s="217">
        <f>'Состав ВТК'!B107</f>
        <v>0</v>
      </c>
      <c r="B114" s="290">
        <f>IFERROR(VLOOKUP($A114,Распределение!$B$13:$L$113,11,FALSE),"-")</f>
        <v>0</v>
      </c>
      <c r="C114" s="291" t="str">
        <f>IFERROR(IF(VLOOKUP($B114,Расценка!$H$3:$I$9,2,FALSE)="НС",Расценка!$T$11,Расценка!$T$12),"-")</f>
        <v>-</v>
      </c>
      <c r="D114" s="291">
        <f>IFERROR(INDEX(Распределение!$1:$1048576,MATCH($A114,Распределение!$B:$B,0),MATCH($D$8,Распределение!$9:$9,0)),"---")</f>
        <v>0</v>
      </c>
      <c r="E114" s="292">
        <f>IFERROR(SUMIFS('Трудозатраты членов ВТК'!$G$17:$G$117,'Трудозатраты членов ВТК'!$D$17:$D$117,A:A),"-")</f>
        <v>0</v>
      </c>
      <c r="F114" s="293">
        <f>IFERROR(SUMIFS('Трудозатраты членов ВТК'!$F$464:$F$713,'Трудозатраты членов ВТК'!$D$464:$D$713,A:A),"-")</f>
        <v>0</v>
      </c>
      <c r="G114" s="302"/>
      <c r="H114" s="295">
        <f t="shared" si="21"/>
        <v>0</v>
      </c>
      <c r="I114" s="296">
        <f>IFERROR(ROUND(IF('Состав ВТК'!$K107=справочник!$A$5,IF(AND('Расчет участников НИР'!$A114='Состав ВТК'!$B107,$I$10='Состав ВТК'!$I107),$F114*$D114*VLOOKUP('Расчет участников НИР'!$B114,Расценка!$C$3:$E$13,3,FALSE),0),0),2),"-")</f>
        <v>0</v>
      </c>
      <c r="J114" s="296">
        <f>IFERROR(ROUND(IF('Состав ВТК'!$K107=справочник!$A$5,IF(AND('Расчет участников НИР'!$A114='Состав ВТК'!$B107,$J$10='Состав ВТК'!$I107),$F114*$D114*VLOOKUP('Расчет участников НИР'!$B114,Расценка!$C$3:$E$13,3,FALSE),0),0),2),"-")</f>
        <v>0</v>
      </c>
      <c r="K114" s="296">
        <f>IFERROR(ROUND(IF('Состав ВТК'!$K107=справочник!$A$5,IF(AND('Расчет участников НИР'!$A114='Состав ВТК'!$B107,$K$10='Состав ВТК'!$I107),$F114*$D114*VLOOKUP('Расчет участников НИР'!$B114,Расценка!$C$3:$E$13,3,FALSE),0),0),2),"-")</f>
        <v>0</v>
      </c>
      <c r="L114" s="297"/>
      <c r="M114" s="295">
        <f t="shared" si="22"/>
        <v>0</v>
      </c>
      <c r="N114" s="298">
        <f>IFERROR(ROUND(IF('Состав ВТК'!$K107=справочник!$A$5,(IF(AND($A114='Состав ВТК'!$B107,$N$10=$C114),$F114*$D114*VLOOKUP($B114,Расценка!$H$3:$K$9,4,FALSE),0)),0),2),"-")</f>
        <v>0</v>
      </c>
      <c r="O114" s="298">
        <f>IFERROR(ROUND(IF('Состав ВТК'!$K107=справочник!$A$5,(IF(AND($A114='Состав ВТК'!$B107,$O$10=$C114),$F114*$D114*VLOOKUP($B114,Расценка!$H$3:$K$9,4,FALSE),0)),0),2),"-")</f>
        <v>0</v>
      </c>
      <c r="P114" s="299">
        <f t="shared" si="23"/>
        <v>0</v>
      </c>
      <c r="Q114" s="300">
        <f t="shared" si="15"/>
        <v>0</v>
      </c>
      <c r="R114" s="300">
        <f t="shared" si="16"/>
        <v>0</v>
      </c>
      <c r="S114" s="295">
        <f t="shared" si="24"/>
        <v>0</v>
      </c>
      <c r="T114" s="298">
        <f>IFERROR(ROUND(IF(AND('Расчет участников НИР'!$A114='Состав ВТК'!$B107,'Расчет участников НИР'!$T$10='Состав ВТК'!$I107),$E114,0),2),"-")</f>
        <v>0</v>
      </c>
      <c r="U114" s="298">
        <f>IFERROR(ROUND(IF(AND('Расчет участников НИР'!$A114='Состав ВТК'!$B107,'Расчет участников НИР'!$U$10='Состав ВТК'!$I107),$E114,0),2),"-")</f>
        <v>0</v>
      </c>
      <c r="V114" s="298">
        <f>IFERROR(ROUND(IF(AND('Расчет участников НИР'!$A114='Состав ВТК'!$B107,'Расчет участников НИР'!$V$10='Состав ВТК'!$I107),$E114,0),2),"-")</f>
        <v>0</v>
      </c>
      <c r="W114" s="301" t="str">
        <f t="shared" si="25"/>
        <v>-</v>
      </c>
      <c r="X114" s="301" t="str">
        <f t="shared" si="26"/>
        <v>-</v>
      </c>
      <c r="Y114" s="301" t="str">
        <f t="shared" si="27"/>
        <v>-</v>
      </c>
    </row>
    <row r="115" spans="1:25" x14ac:dyDescent="0.25">
      <c r="A115" s="217">
        <f>'Состав ВТК'!B108</f>
        <v>0</v>
      </c>
      <c r="B115" s="290">
        <f>IFERROR(VLOOKUP($A115,Распределение!$B$13:$L$113,11,FALSE),"-")</f>
        <v>0</v>
      </c>
      <c r="C115" s="291" t="str">
        <f>IFERROR(IF(VLOOKUP($B115,Расценка!$H$3:$I$9,2,FALSE)="НС",Расценка!$T$11,Расценка!$T$12),"-")</f>
        <v>-</v>
      </c>
      <c r="D115" s="291">
        <f>IFERROR(INDEX(Распределение!$1:$1048576,MATCH($A115,Распределение!$B:$B,0),MATCH($D$8,Распределение!$9:$9,0)),"---")</f>
        <v>0</v>
      </c>
      <c r="E115" s="292">
        <f>IFERROR(SUMIFS('Трудозатраты членов ВТК'!$G$17:$G$117,'Трудозатраты членов ВТК'!$D$17:$D$117,A:A),"-")</f>
        <v>0</v>
      </c>
      <c r="F115" s="293">
        <f>IFERROR(SUMIFS('Трудозатраты членов ВТК'!$F$464:$F$713,'Трудозатраты членов ВТК'!$D$464:$D$713,A:A),"-")</f>
        <v>0</v>
      </c>
      <c r="G115" s="302"/>
      <c r="H115" s="295">
        <f t="shared" si="21"/>
        <v>0</v>
      </c>
      <c r="I115" s="296">
        <f>IFERROR(ROUND(IF('Состав ВТК'!$K108=справочник!$A$5,IF(AND('Расчет участников НИР'!$A115='Состав ВТК'!$B108,$I$10='Состав ВТК'!$I108),$F115*$D115*VLOOKUP('Расчет участников НИР'!$B115,Расценка!$C$3:$E$13,3,FALSE),0),0),2),"-")</f>
        <v>0</v>
      </c>
      <c r="J115" s="296">
        <f>IFERROR(ROUND(IF('Состав ВТК'!$K108=справочник!$A$5,IF(AND('Расчет участников НИР'!$A115='Состав ВТК'!$B108,$J$10='Состав ВТК'!$I108),$F115*$D115*VLOOKUP('Расчет участников НИР'!$B115,Расценка!$C$3:$E$13,3,FALSE),0),0),2),"-")</f>
        <v>0</v>
      </c>
      <c r="K115" s="296">
        <f>IFERROR(ROUND(IF('Состав ВТК'!$K108=справочник!$A$5,IF(AND('Расчет участников НИР'!$A115='Состав ВТК'!$B108,$K$10='Состав ВТК'!$I108),$F115*$D115*VLOOKUP('Расчет участников НИР'!$B115,Расценка!$C$3:$E$13,3,FALSE),0),0),2),"-")</f>
        <v>0</v>
      </c>
      <c r="L115" s="297"/>
      <c r="M115" s="295">
        <f t="shared" si="22"/>
        <v>0</v>
      </c>
      <c r="N115" s="298">
        <f>IFERROR(ROUND(IF('Состав ВТК'!$K108=справочник!$A$5,(IF(AND($A115='Состав ВТК'!$B108,$N$10=$C115),$F115*$D115*VLOOKUP($B115,Расценка!$H$3:$K$9,4,FALSE),0)),0),2),"-")</f>
        <v>0</v>
      </c>
      <c r="O115" s="298">
        <f>IFERROR(ROUND(IF('Состав ВТК'!$K108=справочник!$A$5,(IF(AND($A115='Состав ВТК'!$B108,$O$10=$C115),$F115*$D115*VLOOKUP($B115,Расценка!$H$3:$K$9,4,FALSE),0)),0),2),"-")</f>
        <v>0</v>
      </c>
      <c r="P115" s="299">
        <f t="shared" si="23"/>
        <v>0</v>
      </c>
      <c r="Q115" s="300">
        <f t="shared" si="15"/>
        <v>0</v>
      </c>
      <c r="R115" s="300">
        <f t="shared" si="16"/>
        <v>0</v>
      </c>
      <c r="S115" s="295">
        <f t="shared" si="24"/>
        <v>0</v>
      </c>
      <c r="T115" s="298">
        <f>IFERROR(ROUND(IF(AND('Расчет участников НИР'!$A115='Состав ВТК'!$B108,'Расчет участников НИР'!$T$10='Состав ВТК'!$I108),$E115,0),2),"-")</f>
        <v>0</v>
      </c>
      <c r="U115" s="298">
        <f>IFERROR(ROUND(IF(AND('Расчет участников НИР'!$A115='Состав ВТК'!$B108,'Расчет участников НИР'!$U$10='Состав ВТК'!$I108),$E115,0),2),"-")</f>
        <v>0</v>
      </c>
      <c r="V115" s="298">
        <f>IFERROR(ROUND(IF(AND('Расчет участников НИР'!$A115='Состав ВТК'!$B108,'Расчет участников НИР'!$V$10='Состав ВТК'!$I108),$E115,0),2),"-")</f>
        <v>0</v>
      </c>
      <c r="W115" s="301" t="str">
        <f t="shared" si="25"/>
        <v>-</v>
      </c>
      <c r="X115" s="301" t="str">
        <f t="shared" si="26"/>
        <v>-</v>
      </c>
      <c r="Y115" s="301" t="str">
        <f t="shared" si="27"/>
        <v>-</v>
      </c>
    </row>
    <row r="116" spans="1:25" x14ac:dyDescent="0.25">
      <c r="A116" s="217">
        <f>'Состав ВТК'!B109</f>
        <v>0</v>
      </c>
      <c r="B116" s="290">
        <f>IFERROR(VLOOKUP($A116,Распределение!$B$13:$L$113,11,FALSE),"-")</f>
        <v>0</v>
      </c>
      <c r="C116" s="291" t="str">
        <f>IFERROR(IF(VLOOKUP($B116,Расценка!$H$3:$I$9,2,FALSE)="НС",Расценка!$T$11,Расценка!$T$12),"-")</f>
        <v>-</v>
      </c>
      <c r="D116" s="291">
        <f>IFERROR(INDEX(Распределение!$1:$1048576,MATCH($A116,Распределение!$B:$B,0),MATCH($D$8,Распределение!$9:$9,0)),"---")</f>
        <v>0</v>
      </c>
      <c r="E116" s="292">
        <f>IFERROR(SUMIFS('Трудозатраты членов ВТК'!$G$17:$G$117,'Трудозатраты членов ВТК'!$D$17:$D$117,A:A),"-")</f>
        <v>0</v>
      </c>
      <c r="F116" s="293">
        <f>IFERROR(SUMIFS('Трудозатраты членов ВТК'!$F$464:$F$713,'Трудозатраты членов ВТК'!$D$464:$D$713,A:A),"-")</f>
        <v>0</v>
      </c>
      <c r="G116" s="302"/>
      <c r="H116" s="295">
        <f t="shared" si="21"/>
        <v>0</v>
      </c>
      <c r="I116" s="296">
        <f>IFERROR(ROUND(IF('Состав ВТК'!$K109=справочник!$A$5,IF(AND('Расчет участников НИР'!$A116='Состав ВТК'!$B109,$I$10='Состав ВТК'!$I109),$F116*$D116*VLOOKUP('Расчет участников НИР'!$B116,Расценка!$C$3:$E$13,3,FALSE),0),0),2),"-")</f>
        <v>0</v>
      </c>
      <c r="J116" s="296">
        <f>IFERROR(ROUND(IF('Состав ВТК'!$K109=справочник!$A$5,IF(AND('Расчет участников НИР'!$A116='Состав ВТК'!$B109,$J$10='Состав ВТК'!$I109),$F116*$D116*VLOOKUP('Расчет участников НИР'!$B116,Расценка!$C$3:$E$13,3,FALSE),0),0),2),"-")</f>
        <v>0</v>
      </c>
      <c r="K116" s="296">
        <f>IFERROR(ROUND(IF('Состав ВТК'!$K109=справочник!$A$5,IF(AND('Расчет участников НИР'!$A116='Состав ВТК'!$B109,$K$10='Состав ВТК'!$I109),$F116*$D116*VLOOKUP('Расчет участников НИР'!$B116,Расценка!$C$3:$E$13,3,FALSE),0),0),2),"-")</f>
        <v>0</v>
      </c>
      <c r="L116" s="297"/>
      <c r="M116" s="295">
        <f t="shared" si="22"/>
        <v>0</v>
      </c>
      <c r="N116" s="298">
        <f>IFERROR(ROUND(IF('Состав ВТК'!$K109=справочник!$A$5,(IF(AND($A116='Состав ВТК'!$B109,$N$10=$C116),$F116*$D116*VLOOKUP($B116,Расценка!$H$3:$K$9,4,FALSE),0)),0),2),"-")</f>
        <v>0</v>
      </c>
      <c r="O116" s="298">
        <f>IFERROR(ROUND(IF('Состав ВТК'!$K109=справочник!$A$5,(IF(AND($A116='Состав ВТК'!$B109,$O$10=$C116),$F116*$D116*VLOOKUP($B116,Расценка!$H$3:$K$9,4,FALSE),0)),0),2),"-")</f>
        <v>0</v>
      </c>
      <c r="P116" s="299">
        <f t="shared" si="23"/>
        <v>0</v>
      </c>
      <c r="Q116" s="300">
        <f t="shared" si="15"/>
        <v>0</v>
      </c>
      <c r="R116" s="300">
        <f t="shared" si="16"/>
        <v>0</v>
      </c>
      <c r="S116" s="295">
        <f t="shared" si="24"/>
        <v>0</v>
      </c>
      <c r="T116" s="298">
        <f>IFERROR(ROUND(IF(AND('Расчет участников НИР'!$A116='Состав ВТК'!$B109,'Расчет участников НИР'!$T$10='Состав ВТК'!$I109),$E116,0),2),"-")</f>
        <v>0</v>
      </c>
      <c r="U116" s="298">
        <f>IFERROR(ROUND(IF(AND('Расчет участников НИР'!$A116='Состав ВТК'!$B109,'Расчет участников НИР'!$U$10='Состав ВТК'!$I109),$E116,0),2),"-")</f>
        <v>0</v>
      </c>
      <c r="V116" s="298">
        <f>IFERROR(ROUND(IF(AND('Расчет участников НИР'!$A116='Состав ВТК'!$B109,'Расчет участников НИР'!$V$10='Состав ВТК'!$I109),$E116,0),2),"-")</f>
        <v>0</v>
      </c>
      <c r="W116" s="301" t="str">
        <f t="shared" si="25"/>
        <v>-</v>
      </c>
      <c r="X116" s="301" t="str">
        <f t="shared" si="26"/>
        <v>-</v>
      </c>
      <c r="Y116" s="301" t="str">
        <f t="shared" si="27"/>
        <v>-</v>
      </c>
    </row>
    <row r="117" spans="1:25" x14ac:dyDescent="0.25">
      <c r="A117" s="217">
        <f>'Состав ВТК'!B110</f>
        <v>0</v>
      </c>
      <c r="B117" s="290">
        <f>IFERROR(VLOOKUP($A117,Распределение!$B$13:$L$113,11,FALSE),"-")</f>
        <v>0</v>
      </c>
      <c r="C117" s="291" t="str">
        <f>IFERROR(IF(VLOOKUP($B117,Расценка!$H$3:$I$9,2,FALSE)="НС",Расценка!$T$11,Расценка!$T$12),"-")</f>
        <v>-</v>
      </c>
      <c r="D117" s="291">
        <f>IFERROR(INDEX(Распределение!$1:$1048576,MATCH($A117,Распределение!$B:$B,0),MATCH($D$8,Распределение!$9:$9,0)),"---")</f>
        <v>0</v>
      </c>
      <c r="E117" s="292">
        <f>IFERROR(SUMIFS('Трудозатраты членов ВТК'!$G$17:$G$117,'Трудозатраты членов ВТК'!$D$17:$D$117,A:A),"-")</f>
        <v>0</v>
      </c>
      <c r="F117" s="293">
        <f>IFERROR(SUMIFS('Трудозатраты членов ВТК'!$F$464:$F$713,'Трудозатраты членов ВТК'!$D$464:$D$713,A:A),"-")</f>
        <v>0</v>
      </c>
      <c r="G117" s="302"/>
      <c r="H117" s="295">
        <f t="shared" si="21"/>
        <v>0</v>
      </c>
      <c r="I117" s="296">
        <f>IFERROR(ROUND(IF('Состав ВТК'!$K110=справочник!$A$5,IF(AND('Расчет участников НИР'!$A117='Состав ВТК'!$B110,$I$10='Состав ВТК'!$I110),$F117*$D117*VLOOKUP('Расчет участников НИР'!$B117,Расценка!$C$3:$E$13,3,FALSE),0),0),2),"-")</f>
        <v>0</v>
      </c>
      <c r="J117" s="296">
        <f>IFERROR(ROUND(IF('Состав ВТК'!$K110=справочник!$A$5,IF(AND('Расчет участников НИР'!$A117='Состав ВТК'!$B110,$J$10='Состав ВТК'!$I110),$F117*$D117*VLOOKUP('Расчет участников НИР'!$B117,Расценка!$C$3:$E$13,3,FALSE),0),0),2),"-")</f>
        <v>0</v>
      </c>
      <c r="K117" s="296">
        <f>IFERROR(ROUND(IF('Состав ВТК'!$K110=справочник!$A$5,IF(AND('Расчет участников НИР'!$A117='Состав ВТК'!$B110,$K$10='Состав ВТК'!$I110),$F117*$D117*VLOOKUP('Расчет участников НИР'!$B117,Расценка!$C$3:$E$13,3,FALSE),0),0),2),"-")</f>
        <v>0</v>
      </c>
      <c r="L117" s="297"/>
      <c r="M117" s="295">
        <f t="shared" si="22"/>
        <v>0</v>
      </c>
      <c r="N117" s="298">
        <f>IFERROR(ROUND(IF('Состав ВТК'!$K110=справочник!$A$5,(IF(AND($A117='Состав ВТК'!$B110,$N$10=$C117),$F117*$D117*VLOOKUP($B117,Расценка!$H$3:$K$9,4,FALSE),0)),0),2),"-")</f>
        <v>0</v>
      </c>
      <c r="O117" s="298">
        <f>IFERROR(ROUND(IF('Состав ВТК'!$K110=справочник!$A$5,(IF(AND($A117='Состав ВТК'!$B110,$O$10=$C117),$F117*$D117*VLOOKUP($B117,Расценка!$H$3:$K$9,4,FALSE),0)),0),2),"-")</f>
        <v>0</v>
      </c>
      <c r="P117" s="299">
        <f t="shared" si="23"/>
        <v>0</v>
      </c>
      <c r="Q117" s="300">
        <f t="shared" si="15"/>
        <v>0</v>
      </c>
      <c r="R117" s="300">
        <f t="shared" si="16"/>
        <v>0</v>
      </c>
      <c r="S117" s="295">
        <f t="shared" si="24"/>
        <v>0</v>
      </c>
      <c r="T117" s="298">
        <f>IFERROR(ROUND(IF(AND('Расчет участников НИР'!$A117='Состав ВТК'!$B110,'Расчет участников НИР'!$T$10='Состав ВТК'!$I110),$E117,0),2),"-")</f>
        <v>0</v>
      </c>
      <c r="U117" s="298">
        <f>IFERROR(ROUND(IF(AND('Расчет участников НИР'!$A117='Состав ВТК'!$B110,'Расчет участников НИР'!$U$10='Состав ВТК'!$I110),$E117,0),2),"-")</f>
        <v>0</v>
      </c>
      <c r="V117" s="298">
        <f>IFERROR(ROUND(IF(AND('Расчет участников НИР'!$A117='Состав ВТК'!$B110,'Расчет участников НИР'!$V$10='Состав ВТК'!$I110),$E117,0),2),"-")</f>
        <v>0</v>
      </c>
      <c r="W117" s="301" t="str">
        <f t="shared" si="25"/>
        <v>-</v>
      </c>
      <c r="X117" s="301" t="str">
        <f t="shared" si="26"/>
        <v>-</v>
      </c>
      <c r="Y117" s="301" t="str">
        <f t="shared" si="27"/>
        <v>-</v>
      </c>
    </row>
    <row r="118" spans="1:25" x14ac:dyDescent="0.25">
      <c r="A118" s="217">
        <f>'Состав ВТК'!B111</f>
        <v>0</v>
      </c>
      <c r="B118" s="290">
        <f>IFERROR(VLOOKUP($A118,Распределение!$B$13:$L$113,11,FALSE),"-")</f>
        <v>0</v>
      </c>
      <c r="C118" s="291" t="str">
        <f>IFERROR(IF(VLOOKUP($B118,Расценка!$H$3:$I$9,2,FALSE)="НС",Расценка!$T$11,Расценка!$T$12),"-")</f>
        <v>-</v>
      </c>
      <c r="D118" s="291">
        <f>IFERROR(INDEX(Распределение!$1:$1048576,MATCH($A118,Распределение!$B:$B,0),MATCH($D$8,Распределение!$9:$9,0)),"---")</f>
        <v>0</v>
      </c>
      <c r="E118" s="292">
        <f>IFERROR(SUMIFS('Трудозатраты членов ВТК'!$G$17:$G$117,'Трудозатраты членов ВТК'!$D$17:$D$117,A:A),"-")</f>
        <v>0</v>
      </c>
      <c r="F118" s="293">
        <f>IFERROR(SUMIFS('Трудозатраты членов ВТК'!$F$464:$F$713,'Трудозатраты членов ВТК'!$D$464:$D$713,A:A),"-")</f>
        <v>0</v>
      </c>
      <c r="G118" s="302"/>
      <c r="H118" s="295">
        <f t="shared" si="21"/>
        <v>0</v>
      </c>
      <c r="I118" s="296">
        <f>IFERROR(ROUND(IF('Состав ВТК'!$K111=справочник!$A$5,IF(AND('Расчет участников НИР'!$A118='Состав ВТК'!$B111,$I$10='Состав ВТК'!$I111),$F118*$D118*VLOOKUP('Расчет участников НИР'!$B118,Расценка!$C$3:$E$13,3,FALSE),0),0),2),"-")</f>
        <v>0</v>
      </c>
      <c r="J118" s="296">
        <f>IFERROR(ROUND(IF('Состав ВТК'!$K111=справочник!$A$5,IF(AND('Расчет участников НИР'!$A118='Состав ВТК'!$B111,$J$10='Состав ВТК'!$I111),$F118*$D118*VLOOKUP('Расчет участников НИР'!$B118,Расценка!$C$3:$E$13,3,FALSE),0),0),2),"-")</f>
        <v>0</v>
      </c>
      <c r="K118" s="296">
        <f>IFERROR(ROUND(IF('Состав ВТК'!$K111=справочник!$A$5,IF(AND('Расчет участников НИР'!$A118='Состав ВТК'!$B111,$K$10='Состав ВТК'!$I111),$F118*$D118*VLOOKUP('Расчет участников НИР'!$B118,Расценка!$C$3:$E$13,3,FALSE),0),0),2),"-")</f>
        <v>0</v>
      </c>
      <c r="L118" s="297"/>
      <c r="M118" s="295">
        <f t="shared" si="22"/>
        <v>0</v>
      </c>
      <c r="N118" s="298">
        <f>IFERROR(ROUND(IF('Состав ВТК'!$K111=справочник!$A$5,(IF(AND($A118='Состав ВТК'!$B111,$N$10=$C118),$F118*$D118*VLOOKUP($B118,Расценка!$H$3:$K$9,4,FALSE),0)),0),2),"-")</f>
        <v>0</v>
      </c>
      <c r="O118" s="298">
        <f>IFERROR(ROUND(IF('Состав ВТК'!$K111=справочник!$A$5,(IF(AND($A118='Состав ВТК'!$B111,$O$10=$C118),$F118*$D118*VLOOKUP($B118,Расценка!$H$3:$K$9,4,FALSE),0)),0),2),"-")</f>
        <v>0</v>
      </c>
      <c r="P118" s="299">
        <f t="shared" si="23"/>
        <v>0</v>
      </c>
      <c r="Q118" s="300">
        <f t="shared" si="15"/>
        <v>0</v>
      </c>
      <c r="R118" s="300">
        <f t="shared" si="16"/>
        <v>0</v>
      </c>
      <c r="S118" s="295">
        <f t="shared" si="24"/>
        <v>0</v>
      </c>
      <c r="T118" s="298">
        <f>IFERROR(ROUND(IF(AND('Расчет участников НИР'!$A118='Состав ВТК'!$B111,'Расчет участников НИР'!$T$10='Состав ВТК'!$I111),$E118,0),2),"-")</f>
        <v>0</v>
      </c>
      <c r="U118" s="298">
        <f>IFERROR(ROUND(IF(AND('Расчет участников НИР'!$A118='Состав ВТК'!$B111,'Расчет участников НИР'!$U$10='Состав ВТК'!$I111),$E118,0),2),"-")</f>
        <v>0</v>
      </c>
      <c r="V118" s="298">
        <f>IFERROR(ROUND(IF(AND('Расчет участников НИР'!$A118='Состав ВТК'!$B111,'Расчет участников НИР'!$V$10='Состав ВТК'!$I111),$E118,0),2),"-")</f>
        <v>0</v>
      </c>
      <c r="W118" s="301" t="str">
        <f t="shared" si="25"/>
        <v>-</v>
      </c>
      <c r="X118" s="301" t="str">
        <f t="shared" si="26"/>
        <v>-</v>
      </c>
      <c r="Y118" s="301" t="str">
        <f t="shared" si="27"/>
        <v>-</v>
      </c>
    </row>
    <row r="119" spans="1:25" x14ac:dyDescent="0.25">
      <c r="A119" s="217">
        <f>'Состав ВТК'!B112</f>
        <v>0</v>
      </c>
      <c r="B119" s="290">
        <f>IFERROR(VLOOKUP($A119,Распределение!$B$13:$L$113,11,FALSE),"-")</f>
        <v>0</v>
      </c>
      <c r="C119" s="291" t="str">
        <f>IFERROR(IF(VLOOKUP($B119,Расценка!$H$3:$I$9,2,FALSE)="НС",Расценка!$T$11,Расценка!$T$12),"-")</f>
        <v>-</v>
      </c>
      <c r="D119" s="291">
        <f>IFERROR(INDEX(Распределение!$1:$1048576,MATCH($A119,Распределение!$B:$B,0),MATCH($D$8,Распределение!$9:$9,0)),"---")</f>
        <v>0</v>
      </c>
      <c r="E119" s="292">
        <f>IFERROR(SUMIFS('Трудозатраты членов ВТК'!$G$17:$G$117,'Трудозатраты членов ВТК'!$D$17:$D$117,A:A),"-")</f>
        <v>0</v>
      </c>
      <c r="F119" s="293">
        <f>IFERROR(SUMIFS('Трудозатраты членов ВТК'!$F$464:$F$713,'Трудозатраты членов ВТК'!$D$464:$D$713,A:A),"-")</f>
        <v>0</v>
      </c>
      <c r="G119" s="302"/>
      <c r="H119" s="295">
        <f t="shared" si="21"/>
        <v>0</v>
      </c>
      <c r="I119" s="296">
        <f>IFERROR(ROUND(IF('Состав ВТК'!$K112=справочник!$A$5,IF(AND('Расчет участников НИР'!$A119='Состав ВТК'!$B112,$I$10='Состав ВТК'!$I112),$F119*$D119*VLOOKUP('Расчет участников НИР'!$B119,Расценка!$C$3:$E$13,3,FALSE),0),0),2),"-")</f>
        <v>0</v>
      </c>
      <c r="J119" s="296">
        <f>IFERROR(ROUND(IF('Состав ВТК'!$K112=справочник!$A$5,IF(AND('Расчет участников НИР'!$A119='Состав ВТК'!$B112,$J$10='Состав ВТК'!$I112),$F119*$D119*VLOOKUP('Расчет участников НИР'!$B119,Расценка!$C$3:$E$13,3,FALSE),0),0),2),"-")</f>
        <v>0</v>
      </c>
      <c r="K119" s="296">
        <f>IFERROR(ROUND(IF('Состав ВТК'!$K112=справочник!$A$5,IF(AND('Расчет участников НИР'!$A119='Состав ВТК'!$B112,$K$10='Состав ВТК'!$I112),$F119*$D119*VLOOKUP('Расчет участников НИР'!$B119,Расценка!$C$3:$E$13,3,FALSE),0),0),2),"-")</f>
        <v>0</v>
      </c>
      <c r="L119" s="297"/>
      <c r="M119" s="295">
        <f t="shared" si="22"/>
        <v>0</v>
      </c>
      <c r="N119" s="298">
        <f>IFERROR(ROUND(IF('Состав ВТК'!$K112=справочник!$A$5,(IF(AND($A119='Состав ВТК'!$B112,$N$10=$C119),$F119*$D119*VLOOKUP($B119,Расценка!$H$3:$K$9,4,FALSE),0)),0),2),"-")</f>
        <v>0</v>
      </c>
      <c r="O119" s="298">
        <f>IFERROR(ROUND(IF('Состав ВТК'!$K112=справочник!$A$5,(IF(AND($A119='Состав ВТК'!$B112,$O$10=$C119),$F119*$D119*VLOOKUP($B119,Расценка!$H$3:$K$9,4,FALSE),0)),0),2),"-")</f>
        <v>0</v>
      </c>
      <c r="P119" s="299">
        <f t="shared" si="23"/>
        <v>0</v>
      </c>
      <c r="Q119" s="300">
        <f t="shared" si="15"/>
        <v>0</v>
      </c>
      <c r="R119" s="300">
        <f t="shared" si="16"/>
        <v>0</v>
      </c>
      <c r="S119" s="295">
        <f t="shared" si="24"/>
        <v>0</v>
      </c>
      <c r="T119" s="298">
        <f>IFERROR(ROUND(IF(AND('Расчет участников НИР'!$A119='Состав ВТК'!$B112,'Расчет участников НИР'!$T$10='Состав ВТК'!$I112),$E119,0),2),"-")</f>
        <v>0</v>
      </c>
      <c r="U119" s="298">
        <f>IFERROR(ROUND(IF(AND('Расчет участников НИР'!$A119='Состав ВТК'!$B112,'Расчет участников НИР'!$U$10='Состав ВТК'!$I112),$E119,0),2),"-")</f>
        <v>0</v>
      </c>
      <c r="V119" s="298">
        <f>IFERROR(ROUND(IF(AND('Расчет участников НИР'!$A119='Состав ВТК'!$B112,'Расчет участников НИР'!$V$10='Состав ВТК'!$I112),$E119,0),2),"-")</f>
        <v>0</v>
      </c>
      <c r="W119" s="301" t="str">
        <f t="shared" si="25"/>
        <v>-</v>
      </c>
      <c r="X119" s="301" t="str">
        <f t="shared" si="26"/>
        <v>-</v>
      </c>
      <c r="Y119" s="301" t="str">
        <f t="shared" si="27"/>
        <v>-</v>
      </c>
    </row>
    <row r="120" spans="1:25" x14ac:dyDescent="0.25">
      <c r="A120" s="217">
        <f>'Состав ВТК'!B113</f>
        <v>0</v>
      </c>
      <c r="B120" s="290">
        <f>IFERROR(VLOOKUP($A120,Распределение!$B$13:$L$113,11,FALSE),"-")</f>
        <v>0</v>
      </c>
      <c r="C120" s="291" t="str">
        <f>IFERROR(IF(VLOOKUP($B120,Расценка!$H$3:$I$9,2,FALSE)="НС",Расценка!$T$11,Расценка!$T$12),"-")</f>
        <v>-</v>
      </c>
      <c r="D120" s="291">
        <f>IFERROR(INDEX(Распределение!$1:$1048576,MATCH($A120,Распределение!$B:$B,0),MATCH($D$8,Распределение!$9:$9,0)),"---")</f>
        <v>0</v>
      </c>
      <c r="E120" s="292">
        <f>IFERROR(SUMIFS('Трудозатраты членов ВТК'!$G$17:$G$117,'Трудозатраты членов ВТК'!$D$17:$D$117,A:A),"-")</f>
        <v>0</v>
      </c>
      <c r="F120" s="293">
        <f>IFERROR(SUMIFS('Трудозатраты членов ВТК'!$F$464:$F$713,'Трудозатраты членов ВТК'!$D$464:$D$713,A:A),"-")</f>
        <v>0</v>
      </c>
      <c r="G120" s="302"/>
      <c r="H120" s="295">
        <f t="shared" si="21"/>
        <v>0</v>
      </c>
      <c r="I120" s="296">
        <f>IFERROR(ROUND(IF('Состав ВТК'!$K113=справочник!$A$5,IF(AND('Расчет участников НИР'!$A120='Состав ВТК'!$B113,$I$10='Состав ВТК'!$I113),$F120*$D120*VLOOKUP('Расчет участников НИР'!$B120,Расценка!$C$3:$E$13,3,FALSE),0),0),2),"-")</f>
        <v>0</v>
      </c>
      <c r="J120" s="296">
        <f>IFERROR(ROUND(IF('Состав ВТК'!$K113=справочник!$A$5,IF(AND('Расчет участников НИР'!$A120='Состав ВТК'!$B113,$J$10='Состав ВТК'!$I113),$F120*$D120*VLOOKUP('Расчет участников НИР'!$B120,Расценка!$C$3:$E$13,3,FALSE),0),0),2),"-")</f>
        <v>0</v>
      </c>
      <c r="K120" s="296">
        <f>IFERROR(ROUND(IF('Состав ВТК'!$K113=справочник!$A$5,IF(AND('Расчет участников НИР'!$A120='Состав ВТК'!$B113,$K$10='Состав ВТК'!$I113),$F120*$D120*VLOOKUP('Расчет участников НИР'!$B120,Расценка!$C$3:$E$13,3,FALSE),0),0),2),"-")</f>
        <v>0</v>
      </c>
      <c r="L120" s="297"/>
      <c r="M120" s="295">
        <f t="shared" si="22"/>
        <v>0</v>
      </c>
      <c r="N120" s="298">
        <f>IFERROR(ROUND(IF('Состав ВТК'!$K113=справочник!$A$5,(IF(AND($A120='Состав ВТК'!$B113,$N$10=$C120),$F120*$D120*VLOOKUP($B120,Расценка!$H$3:$K$9,4,FALSE),0)),0),2),"-")</f>
        <v>0</v>
      </c>
      <c r="O120" s="298">
        <f>IFERROR(ROUND(IF('Состав ВТК'!$K113=справочник!$A$5,(IF(AND($A120='Состав ВТК'!$B113,$O$10=$C120),$F120*$D120*VLOOKUP($B120,Расценка!$H$3:$K$9,4,FALSE),0)),0),2),"-")</f>
        <v>0</v>
      </c>
      <c r="P120" s="299">
        <f t="shared" si="23"/>
        <v>0</v>
      </c>
      <c r="Q120" s="300">
        <f t="shared" si="15"/>
        <v>0</v>
      </c>
      <c r="R120" s="300">
        <f t="shared" si="16"/>
        <v>0</v>
      </c>
      <c r="S120" s="295">
        <f t="shared" si="24"/>
        <v>0</v>
      </c>
      <c r="T120" s="298">
        <f>IFERROR(ROUND(IF(AND('Расчет участников НИР'!$A120='Состав ВТК'!$B113,'Расчет участников НИР'!$T$10='Состав ВТК'!$I113),$E120,0),2),"-")</f>
        <v>0</v>
      </c>
      <c r="U120" s="298">
        <f>IFERROR(ROUND(IF(AND('Расчет участников НИР'!$A120='Состав ВТК'!$B113,'Расчет участников НИР'!$U$10='Состав ВТК'!$I113),$E120,0),2),"-")</f>
        <v>0</v>
      </c>
      <c r="V120" s="298">
        <f>IFERROR(ROUND(IF(AND('Расчет участников НИР'!$A120='Состав ВТК'!$B113,'Расчет участников НИР'!$V$10='Состав ВТК'!$I113),$E120,0),2),"-")</f>
        <v>0</v>
      </c>
      <c r="W120" s="301" t="str">
        <f t="shared" si="25"/>
        <v>-</v>
      </c>
      <c r="X120" s="301" t="str">
        <f t="shared" si="26"/>
        <v>-</v>
      </c>
      <c r="Y120" s="301" t="str">
        <f t="shared" si="27"/>
        <v>-</v>
      </c>
    </row>
    <row r="121" spans="1:25" x14ac:dyDescent="0.25">
      <c r="A121" s="217">
        <f>'Состав ВТК'!B114</f>
        <v>0</v>
      </c>
      <c r="B121" s="290">
        <f>IFERROR(VLOOKUP($A121,Распределение!$B$13:$L$113,11,FALSE),"-")</f>
        <v>0</v>
      </c>
      <c r="C121" s="291" t="str">
        <f>IFERROR(IF(VLOOKUP($B121,Расценка!$H$3:$I$9,2,FALSE)="НС",Расценка!$T$11,Расценка!$T$12),"-")</f>
        <v>-</v>
      </c>
      <c r="D121" s="291">
        <f>IFERROR(INDEX(Распределение!$1:$1048576,MATCH($A121,Распределение!$B:$B,0),MATCH($D$8,Распределение!$9:$9,0)),"---")</f>
        <v>0</v>
      </c>
      <c r="E121" s="292">
        <f>IFERROR(SUMIFS('Трудозатраты членов ВТК'!$G$17:$G$117,'Трудозатраты членов ВТК'!$D$17:$D$117,A:A),"-")</f>
        <v>0</v>
      </c>
      <c r="F121" s="293">
        <f>IFERROR(SUMIFS('Трудозатраты членов ВТК'!$F$464:$F$713,'Трудозатраты членов ВТК'!$D$464:$D$713,A:A),"-")</f>
        <v>0</v>
      </c>
      <c r="G121" s="302"/>
      <c r="H121" s="295">
        <f t="shared" si="21"/>
        <v>0</v>
      </c>
      <c r="I121" s="296">
        <f>IFERROR(ROUND(IF('Состав ВТК'!$K114=справочник!$A$5,IF(AND('Расчет участников НИР'!$A121='Состав ВТК'!$B114,$I$10='Состав ВТК'!$I114),$F121*$D121*VLOOKUP('Расчет участников НИР'!$B121,Расценка!$C$3:$E$13,3,FALSE),0),0),2),"-")</f>
        <v>0</v>
      </c>
      <c r="J121" s="296">
        <f>IFERROR(ROUND(IF('Состав ВТК'!$K114=справочник!$A$5,IF(AND('Расчет участников НИР'!$A121='Состав ВТК'!$B114,$J$10='Состав ВТК'!$I114),$F121*$D121*VLOOKUP('Расчет участников НИР'!$B121,Расценка!$C$3:$E$13,3,FALSE),0),0),2),"-")</f>
        <v>0</v>
      </c>
      <c r="K121" s="296">
        <f>IFERROR(ROUND(IF('Состав ВТК'!$K114=справочник!$A$5,IF(AND('Расчет участников НИР'!$A121='Состав ВТК'!$B114,$K$10='Состав ВТК'!$I114),$F121*$D121*VLOOKUP('Расчет участников НИР'!$B121,Расценка!$C$3:$E$13,3,FALSE),0),0),2),"-")</f>
        <v>0</v>
      </c>
      <c r="L121" s="297"/>
      <c r="M121" s="295">
        <f t="shared" si="22"/>
        <v>0</v>
      </c>
      <c r="N121" s="298">
        <f>IFERROR(ROUND(IF('Состав ВТК'!$K114=справочник!$A$5,(IF(AND($A121='Состав ВТК'!$B114,$N$10=$C121),$F121*$D121*VLOOKUP($B121,Расценка!$H$3:$K$9,4,FALSE),0)),0),2),"-")</f>
        <v>0</v>
      </c>
      <c r="O121" s="298">
        <f>IFERROR(ROUND(IF('Состав ВТК'!$K114=справочник!$A$5,(IF(AND($A121='Состав ВТК'!$B114,$O$10=$C121),$F121*$D121*VLOOKUP($B121,Расценка!$H$3:$K$9,4,FALSE),0)),0),2),"-")</f>
        <v>0</v>
      </c>
      <c r="P121" s="299">
        <f t="shared" si="23"/>
        <v>0</v>
      </c>
      <c r="Q121" s="300">
        <f t="shared" si="15"/>
        <v>0</v>
      </c>
      <c r="R121" s="300">
        <f t="shared" si="16"/>
        <v>0</v>
      </c>
      <c r="S121" s="295">
        <f t="shared" si="24"/>
        <v>0</v>
      </c>
      <c r="T121" s="298">
        <f>IFERROR(ROUND(IF(AND('Расчет участников НИР'!$A121='Состав ВТК'!$B114,'Расчет участников НИР'!$T$10='Состав ВТК'!$I114),$E121,0),2),"-")</f>
        <v>0</v>
      </c>
      <c r="U121" s="298">
        <f>IFERROR(ROUND(IF(AND('Расчет участников НИР'!$A121='Состав ВТК'!$B114,'Расчет участников НИР'!$U$10='Состав ВТК'!$I114),$E121,0),2),"-")</f>
        <v>0</v>
      </c>
      <c r="V121" s="298">
        <f>IFERROR(ROUND(IF(AND('Расчет участников НИР'!$A121='Состав ВТК'!$B114,'Расчет участников НИР'!$V$10='Состав ВТК'!$I114),$E121,0),2),"-")</f>
        <v>0</v>
      </c>
      <c r="W121" s="301" t="str">
        <f t="shared" si="25"/>
        <v>-</v>
      </c>
      <c r="X121" s="301" t="str">
        <f t="shared" si="26"/>
        <v>-</v>
      </c>
      <c r="Y121" s="301" t="str">
        <f t="shared" si="27"/>
        <v>-</v>
      </c>
    </row>
    <row r="122" spans="1:25" x14ac:dyDescent="0.25">
      <c r="A122" s="217">
        <f>'Состав ВТК'!B115</f>
        <v>0</v>
      </c>
      <c r="B122" s="290">
        <f>IFERROR(VLOOKUP($A122,Распределение!$B$13:$L$113,11,FALSE),"-")</f>
        <v>0</v>
      </c>
      <c r="C122" s="291" t="str">
        <f>IFERROR(IF(VLOOKUP($B122,Расценка!$H$3:$I$9,2,FALSE)="НС",Расценка!$T$11,Расценка!$T$12),"-")</f>
        <v>-</v>
      </c>
      <c r="D122" s="291">
        <f>IFERROR(INDEX(Распределение!$1:$1048576,MATCH($A122,Распределение!$B:$B,0),MATCH($D$8,Распределение!$9:$9,0)),"---")</f>
        <v>0</v>
      </c>
      <c r="E122" s="292">
        <f>IFERROR(SUMIFS('Трудозатраты членов ВТК'!$G$17:$G$117,'Трудозатраты членов ВТК'!$D$17:$D$117,A:A),"-")</f>
        <v>0</v>
      </c>
      <c r="F122" s="293">
        <f>IFERROR(SUMIFS('Трудозатраты членов ВТК'!$F$464:$F$713,'Трудозатраты членов ВТК'!$D$464:$D$713,A:A),"-")</f>
        <v>0</v>
      </c>
      <c r="G122" s="302"/>
      <c r="H122" s="295">
        <f t="shared" si="21"/>
        <v>0</v>
      </c>
      <c r="I122" s="296">
        <f>IFERROR(ROUND(IF('Состав ВТК'!$K115=справочник!$A$5,IF(AND('Расчет участников НИР'!$A122='Состав ВТК'!$B115,$I$10='Состав ВТК'!$I115),$F122*$D122*VLOOKUP('Расчет участников НИР'!$B122,Расценка!$C$3:$E$13,3,FALSE),0),0),2),"-")</f>
        <v>0</v>
      </c>
      <c r="J122" s="296">
        <f>IFERROR(ROUND(IF('Состав ВТК'!$K115=справочник!$A$5,IF(AND('Расчет участников НИР'!$A122='Состав ВТК'!$B115,$J$10='Состав ВТК'!$I115),$F122*$D122*VLOOKUP('Расчет участников НИР'!$B122,Расценка!$C$3:$E$13,3,FALSE),0),0),2),"-")</f>
        <v>0</v>
      </c>
      <c r="K122" s="296">
        <f>IFERROR(ROUND(IF('Состав ВТК'!$K115=справочник!$A$5,IF(AND('Расчет участников НИР'!$A122='Состав ВТК'!$B115,$K$10='Состав ВТК'!$I115),$F122*$D122*VLOOKUP('Расчет участников НИР'!$B122,Расценка!$C$3:$E$13,3,FALSE),0),0),2),"-")</f>
        <v>0</v>
      </c>
      <c r="L122" s="297"/>
      <c r="M122" s="295">
        <f t="shared" si="22"/>
        <v>0</v>
      </c>
      <c r="N122" s="298">
        <f>IFERROR(ROUND(IF('Состав ВТК'!$K115=справочник!$A$5,(IF(AND($A122='Состав ВТК'!$B115,$N$10=$C122),$F122*$D122*VLOOKUP($B122,Расценка!$H$3:$K$9,4,FALSE),0)),0),2),"-")</f>
        <v>0</v>
      </c>
      <c r="O122" s="298">
        <f>IFERROR(ROUND(IF('Состав ВТК'!$K115=справочник!$A$5,(IF(AND($A122='Состав ВТК'!$B115,$O$10=$C122),$F122*$D122*VLOOKUP($B122,Расценка!$H$3:$K$9,4,FALSE),0)),0),2),"-")</f>
        <v>0</v>
      </c>
      <c r="P122" s="299">
        <f t="shared" si="23"/>
        <v>0</v>
      </c>
      <c r="Q122" s="300">
        <f t="shared" si="15"/>
        <v>0</v>
      </c>
      <c r="R122" s="300">
        <f t="shared" si="16"/>
        <v>0</v>
      </c>
      <c r="S122" s="295">
        <f t="shared" si="24"/>
        <v>0</v>
      </c>
      <c r="T122" s="298">
        <f>IFERROR(ROUND(IF(AND('Расчет участников НИР'!$A122='Состав ВТК'!$B115,'Расчет участников НИР'!$T$10='Состав ВТК'!$I115),$E122,0),2),"-")</f>
        <v>0</v>
      </c>
      <c r="U122" s="298">
        <f>IFERROR(ROUND(IF(AND('Расчет участников НИР'!$A122='Состав ВТК'!$B115,'Расчет участников НИР'!$U$10='Состав ВТК'!$I115),$E122,0),2),"-")</f>
        <v>0</v>
      </c>
      <c r="V122" s="298">
        <f>IFERROR(ROUND(IF(AND('Расчет участников НИР'!$A122='Состав ВТК'!$B115,'Расчет участников НИР'!$V$10='Состав ВТК'!$I115),$E122,0),2),"-")</f>
        <v>0</v>
      </c>
      <c r="W122" s="301" t="str">
        <f t="shared" si="25"/>
        <v>-</v>
      </c>
      <c r="X122" s="301" t="str">
        <f t="shared" si="26"/>
        <v>-</v>
      </c>
      <c r="Y122" s="301" t="str">
        <f t="shared" si="27"/>
        <v>-</v>
      </c>
    </row>
    <row r="123" spans="1:25" x14ac:dyDescent="0.25">
      <c r="A123" s="217">
        <f>'Состав ВТК'!B116</f>
        <v>0</v>
      </c>
      <c r="B123" s="290">
        <f>IFERROR(VLOOKUP($A123,Распределение!$B$13:$L$113,11,FALSE),"-")</f>
        <v>0</v>
      </c>
      <c r="C123" s="291" t="str">
        <f>IFERROR(IF(VLOOKUP($B123,Расценка!$H$3:$I$9,2,FALSE)="НС",Расценка!$T$11,Расценка!$T$12),"-")</f>
        <v>-</v>
      </c>
      <c r="D123" s="291">
        <f>IFERROR(INDEX(Распределение!$1:$1048576,MATCH($A123,Распределение!$B:$B,0),MATCH($D$8,Распределение!$9:$9,0)),"---")</f>
        <v>0</v>
      </c>
      <c r="E123" s="292">
        <f>IFERROR(SUMIFS('Трудозатраты членов ВТК'!$G$17:$G$117,'Трудозатраты членов ВТК'!$D$17:$D$117,A:A),"-")</f>
        <v>0</v>
      </c>
      <c r="F123" s="293">
        <f>IFERROR(SUMIFS('Трудозатраты членов ВТК'!$F$464:$F$713,'Трудозатраты членов ВТК'!$D$464:$D$713,A:A),"-")</f>
        <v>0</v>
      </c>
      <c r="G123" s="302"/>
      <c r="H123" s="295">
        <f t="shared" si="21"/>
        <v>0</v>
      </c>
      <c r="I123" s="296">
        <f>IFERROR(ROUND(IF('Состав ВТК'!$K116=справочник!$A$5,IF(AND('Расчет участников НИР'!$A123='Состав ВТК'!$B116,$I$10='Состав ВТК'!$I116),$F123*$D123*VLOOKUP('Расчет участников НИР'!$B123,Расценка!$C$3:$E$13,3,FALSE),0),0),2),"-")</f>
        <v>0</v>
      </c>
      <c r="J123" s="296">
        <f>IFERROR(ROUND(IF('Состав ВТК'!$K116=справочник!$A$5,IF(AND('Расчет участников НИР'!$A123='Состав ВТК'!$B116,$J$10='Состав ВТК'!$I116),$F123*$D123*VLOOKUP('Расчет участников НИР'!$B123,Расценка!$C$3:$E$13,3,FALSE),0),0),2),"-")</f>
        <v>0</v>
      </c>
      <c r="K123" s="296">
        <f>IFERROR(ROUND(IF('Состав ВТК'!$K116=справочник!$A$5,IF(AND('Расчет участников НИР'!$A123='Состав ВТК'!$B116,$K$10='Состав ВТК'!$I116),$F123*$D123*VLOOKUP('Расчет участников НИР'!$B123,Расценка!$C$3:$E$13,3,FALSE),0),0),2),"-")</f>
        <v>0</v>
      </c>
      <c r="L123" s="297"/>
      <c r="M123" s="295">
        <f t="shared" si="22"/>
        <v>0</v>
      </c>
      <c r="N123" s="298">
        <f>IFERROR(ROUND(IF('Состав ВТК'!$K116=справочник!$A$5,(IF(AND($A123='Состав ВТК'!$B116,$N$10=$C123),$F123*$D123*VLOOKUP($B123,Расценка!$H$3:$K$9,4,FALSE),0)),0),2),"-")</f>
        <v>0</v>
      </c>
      <c r="O123" s="298">
        <f>IFERROR(ROUND(IF('Состав ВТК'!$K116=справочник!$A$5,(IF(AND($A123='Состав ВТК'!$B116,$O$10=$C123),$F123*$D123*VLOOKUP($B123,Расценка!$H$3:$K$9,4,FALSE),0)),0),2),"-")</f>
        <v>0</v>
      </c>
      <c r="P123" s="299">
        <f t="shared" si="23"/>
        <v>0</v>
      </c>
      <c r="Q123" s="300">
        <f t="shared" si="15"/>
        <v>0</v>
      </c>
      <c r="R123" s="300">
        <f t="shared" si="16"/>
        <v>0</v>
      </c>
      <c r="S123" s="295">
        <f t="shared" si="24"/>
        <v>0</v>
      </c>
      <c r="T123" s="298">
        <f>IFERROR(ROUND(IF(AND('Расчет участников НИР'!$A123='Состав ВТК'!$B116,'Расчет участников НИР'!$T$10='Состав ВТК'!$I116),$E123,0),2),"-")</f>
        <v>0</v>
      </c>
      <c r="U123" s="298">
        <f>IFERROR(ROUND(IF(AND('Расчет участников НИР'!$A123='Состав ВТК'!$B116,'Расчет участников НИР'!$U$10='Состав ВТК'!$I116),$E123,0),2),"-")</f>
        <v>0</v>
      </c>
      <c r="V123" s="298">
        <f>IFERROR(ROUND(IF(AND('Расчет участников НИР'!$A123='Состав ВТК'!$B116,'Расчет участников НИР'!$V$10='Состав ВТК'!$I116),$E123,0),2),"-")</f>
        <v>0</v>
      </c>
      <c r="W123" s="301" t="str">
        <f t="shared" si="25"/>
        <v>-</v>
      </c>
      <c r="X123" s="301" t="str">
        <f t="shared" si="26"/>
        <v>-</v>
      </c>
      <c r="Y123" s="301" t="str">
        <f t="shared" si="27"/>
        <v>-</v>
      </c>
    </row>
    <row r="124" spans="1:25" x14ac:dyDescent="0.25">
      <c r="A124" s="217">
        <f>'Состав ВТК'!B117</f>
        <v>0</v>
      </c>
      <c r="B124" s="290">
        <f>IFERROR(VLOOKUP($A124,Распределение!$B$13:$L$113,11,FALSE),"-")</f>
        <v>0</v>
      </c>
      <c r="C124" s="291" t="str">
        <f>IFERROR(IF(VLOOKUP($B124,Расценка!$H$3:$I$9,2,FALSE)="НС",Расценка!$T$11,Расценка!$T$12),"-")</f>
        <v>-</v>
      </c>
      <c r="D124" s="291">
        <f>IFERROR(INDEX(Распределение!$1:$1048576,MATCH($A124,Распределение!$B:$B,0),MATCH($D$8,Распределение!$9:$9,0)),"---")</f>
        <v>0</v>
      </c>
      <c r="E124" s="292">
        <f>IFERROR(SUMIFS('Трудозатраты членов ВТК'!$G$17:$G$117,'Трудозатраты членов ВТК'!$D$17:$D$117,A:A),"-")</f>
        <v>0</v>
      </c>
      <c r="F124" s="293">
        <f>IFERROR(SUMIFS('Трудозатраты членов ВТК'!$F$464:$F$713,'Трудозатраты членов ВТК'!$D$464:$D$713,A:A),"-")</f>
        <v>0</v>
      </c>
      <c r="G124" s="302"/>
      <c r="H124" s="295">
        <f t="shared" si="21"/>
        <v>0</v>
      </c>
      <c r="I124" s="296">
        <f>IFERROR(ROUND(IF('Состав ВТК'!$K117=справочник!$A$5,IF(AND('Расчет участников НИР'!$A124='Состав ВТК'!$B117,$I$10='Состав ВТК'!$I117),$F124*$D124*VLOOKUP('Расчет участников НИР'!$B124,Расценка!$C$3:$E$13,3,FALSE),0),0),2),"-")</f>
        <v>0</v>
      </c>
      <c r="J124" s="296">
        <f>IFERROR(ROUND(IF('Состав ВТК'!$K117=справочник!$A$5,IF(AND('Расчет участников НИР'!$A124='Состав ВТК'!$B117,$J$10='Состав ВТК'!$I117),$F124*$D124*VLOOKUP('Расчет участников НИР'!$B124,Расценка!$C$3:$E$13,3,FALSE),0),0),2),"-")</f>
        <v>0</v>
      </c>
      <c r="K124" s="296">
        <f>IFERROR(ROUND(IF('Состав ВТК'!$K117=справочник!$A$5,IF(AND('Расчет участников НИР'!$A124='Состав ВТК'!$B117,$K$10='Состав ВТК'!$I117),$F124*$D124*VLOOKUP('Расчет участников НИР'!$B124,Расценка!$C$3:$E$13,3,FALSE),0),0),2),"-")</f>
        <v>0</v>
      </c>
      <c r="L124" s="297"/>
      <c r="M124" s="295">
        <f t="shared" si="22"/>
        <v>0</v>
      </c>
      <c r="N124" s="298">
        <f>IFERROR(ROUND(IF('Состав ВТК'!$K117=справочник!$A$5,(IF(AND($A124='Состав ВТК'!$B117,$N$10=$C124),$F124*$D124*VLOOKUP($B124,Расценка!$H$3:$K$9,4,FALSE),0)),0),2),"-")</f>
        <v>0</v>
      </c>
      <c r="O124" s="298">
        <f>IFERROR(ROUND(IF('Состав ВТК'!$K117=справочник!$A$5,(IF(AND($A124='Состав ВТК'!$B117,$O$10=$C124),$F124*$D124*VLOOKUP($B124,Расценка!$H$3:$K$9,4,FALSE),0)),0),2),"-")</f>
        <v>0</v>
      </c>
      <c r="P124" s="299">
        <f t="shared" si="23"/>
        <v>0</v>
      </c>
      <c r="Q124" s="300">
        <f t="shared" si="15"/>
        <v>0</v>
      </c>
      <c r="R124" s="300">
        <f t="shared" si="16"/>
        <v>0</v>
      </c>
      <c r="S124" s="295">
        <f t="shared" si="24"/>
        <v>0</v>
      </c>
      <c r="T124" s="298">
        <f>IFERROR(ROUND(IF(AND('Расчет участников НИР'!$A124='Состав ВТК'!$B117,'Расчет участников НИР'!$T$10='Состав ВТК'!$I117),$E124,0),2),"-")</f>
        <v>0</v>
      </c>
      <c r="U124" s="298">
        <f>IFERROR(ROUND(IF(AND('Расчет участников НИР'!$A124='Состав ВТК'!$B117,'Расчет участников НИР'!$U$10='Состав ВТК'!$I117),$E124,0),2),"-")</f>
        <v>0</v>
      </c>
      <c r="V124" s="298">
        <f>IFERROR(ROUND(IF(AND('Расчет участников НИР'!$A124='Состав ВТК'!$B117,'Расчет участников НИР'!$V$10='Состав ВТК'!$I117),$E124,0),2),"-")</f>
        <v>0</v>
      </c>
      <c r="W124" s="301" t="str">
        <f t="shared" si="25"/>
        <v>-</v>
      </c>
      <c r="X124" s="301" t="str">
        <f t="shared" si="26"/>
        <v>-</v>
      </c>
      <c r="Y124" s="301" t="str">
        <f t="shared" si="27"/>
        <v>-</v>
      </c>
    </row>
    <row r="125" spans="1:25" x14ac:dyDescent="0.25">
      <c r="A125" s="217">
        <f>'Состав ВТК'!B118</f>
        <v>0</v>
      </c>
      <c r="B125" s="290">
        <f>IFERROR(VLOOKUP($A125,Распределение!$B$13:$L$113,11,FALSE),"-")</f>
        <v>0</v>
      </c>
      <c r="C125" s="291" t="str">
        <f>IFERROR(IF(VLOOKUP($B125,Расценка!$H$3:$I$9,2,FALSE)="НС",Расценка!$T$11,Расценка!$T$12),"-")</f>
        <v>-</v>
      </c>
      <c r="D125" s="291">
        <f>IFERROR(INDEX(Распределение!$1:$1048576,MATCH($A125,Распределение!$B:$B,0),MATCH($D$8,Распределение!$9:$9,0)),"---")</f>
        <v>0</v>
      </c>
      <c r="E125" s="292">
        <f>IFERROR(SUMIFS('Трудозатраты членов ВТК'!$G$17:$G$117,'Трудозатраты членов ВТК'!$D$17:$D$117,A:A),"-")</f>
        <v>0</v>
      </c>
      <c r="F125" s="293">
        <f>IFERROR(SUMIFS('Трудозатраты членов ВТК'!$F$464:$F$713,'Трудозатраты членов ВТК'!$D$464:$D$713,A:A),"-")</f>
        <v>0</v>
      </c>
      <c r="G125" s="302"/>
      <c r="H125" s="295">
        <f t="shared" si="21"/>
        <v>0</v>
      </c>
      <c r="I125" s="296">
        <f>IFERROR(ROUND(IF('Состав ВТК'!$K118=справочник!$A$5,IF(AND('Расчет участников НИР'!$A125='Состав ВТК'!$B118,$I$10='Состав ВТК'!$I118),$F125*$D125*VLOOKUP('Расчет участников НИР'!$B125,Расценка!$C$3:$E$13,3,FALSE),0),0),2),"-")</f>
        <v>0</v>
      </c>
      <c r="J125" s="296">
        <f>IFERROR(ROUND(IF('Состав ВТК'!$K118=справочник!$A$5,IF(AND('Расчет участников НИР'!$A125='Состав ВТК'!$B118,$J$10='Состав ВТК'!$I118),$F125*$D125*VLOOKUP('Расчет участников НИР'!$B125,Расценка!$C$3:$E$13,3,FALSE),0),0),2),"-")</f>
        <v>0</v>
      </c>
      <c r="K125" s="296">
        <f>IFERROR(ROUND(IF('Состав ВТК'!$K118=справочник!$A$5,IF(AND('Расчет участников НИР'!$A125='Состав ВТК'!$B118,$K$10='Состав ВТК'!$I118),$F125*$D125*VLOOKUP('Расчет участников НИР'!$B125,Расценка!$C$3:$E$13,3,FALSE),0),0),2),"-")</f>
        <v>0</v>
      </c>
      <c r="L125" s="297"/>
      <c r="M125" s="295">
        <f t="shared" si="22"/>
        <v>0</v>
      </c>
      <c r="N125" s="298">
        <f>IFERROR(ROUND(IF('Состав ВТК'!$K118=справочник!$A$5,(IF(AND($A125='Состав ВТК'!$B118,$N$10=$C125),$F125*$D125*VLOOKUP($B125,Расценка!$H$3:$K$9,4,FALSE),0)),0),2),"-")</f>
        <v>0</v>
      </c>
      <c r="O125" s="298">
        <f>IFERROR(ROUND(IF('Состав ВТК'!$K118=справочник!$A$5,(IF(AND($A125='Состав ВТК'!$B118,$O$10=$C125),$F125*$D125*VLOOKUP($B125,Расценка!$H$3:$K$9,4,FALSE),0)),0),2),"-")</f>
        <v>0</v>
      </c>
      <c r="P125" s="299">
        <f t="shared" si="23"/>
        <v>0</v>
      </c>
      <c r="Q125" s="300">
        <f t="shared" si="15"/>
        <v>0</v>
      </c>
      <c r="R125" s="300">
        <f t="shared" si="16"/>
        <v>0</v>
      </c>
      <c r="S125" s="295">
        <f t="shared" si="24"/>
        <v>0</v>
      </c>
      <c r="T125" s="298">
        <f>IFERROR(ROUND(IF(AND('Расчет участников НИР'!$A125='Состав ВТК'!$B118,'Расчет участников НИР'!$T$10='Состав ВТК'!$I118),$E125,0),2),"-")</f>
        <v>0</v>
      </c>
      <c r="U125" s="298">
        <f>IFERROR(ROUND(IF(AND('Расчет участников НИР'!$A125='Состав ВТК'!$B118,'Расчет участников НИР'!$U$10='Состав ВТК'!$I118),$E125,0),2),"-")</f>
        <v>0</v>
      </c>
      <c r="V125" s="298">
        <f>IFERROR(ROUND(IF(AND('Расчет участников НИР'!$A125='Состав ВТК'!$B118,'Расчет участников НИР'!$V$10='Состав ВТК'!$I118),$E125,0),2),"-")</f>
        <v>0</v>
      </c>
      <c r="W125" s="301" t="str">
        <f t="shared" si="25"/>
        <v>-</v>
      </c>
      <c r="X125" s="301" t="str">
        <f t="shared" si="26"/>
        <v>-</v>
      </c>
      <c r="Y125" s="301" t="str">
        <f t="shared" si="27"/>
        <v>-</v>
      </c>
    </row>
    <row r="126" spans="1:25" x14ac:dyDescent="0.25">
      <c r="A126" s="217">
        <f>'Состав ВТК'!B119</f>
        <v>0</v>
      </c>
      <c r="B126" s="290">
        <f>IFERROR(VLOOKUP($A126,Распределение!$B$13:$L$113,11,FALSE),"-")</f>
        <v>0</v>
      </c>
      <c r="C126" s="291" t="str">
        <f>IFERROR(IF(VLOOKUP($B126,Расценка!$H$3:$I$9,2,FALSE)="НС",Расценка!$T$11,Расценка!$T$12),"-")</f>
        <v>-</v>
      </c>
      <c r="D126" s="291">
        <f>IFERROR(INDEX(Распределение!$1:$1048576,MATCH($A126,Распределение!$B:$B,0),MATCH($D$8,Распределение!$9:$9,0)),"---")</f>
        <v>0</v>
      </c>
      <c r="E126" s="292">
        <f>IFERROR(SUMIFS('Трудозатраты членов ВТК'!$G$17:$G$117,'Трудозатраты членов ВТК'!$D$17:$D$117,A:A),"-")</f>
        <v>0</v>
      </c>
      <c r="F126" s="293">
        <f>IFERROR(SUMIFS('Трудозатраты членов ВТК'!$F$464:$F$713,'Трудозатраты членов ВТК'!$D$464:$D$713,A:A),"-")</f>
        <v>0</v>
      </c>
      <c r="G126" s="302"/>
      <c r="H126" s="295">
        <f t="shared" si="21"/>
        <v>0</v>
      </c>
      <c r="I126" s="296">
        <f>IFERROR(ROUND(IF('Состав ВТК'!$K119=справочник!$A$5,IF(AND('Расчет участников НИР'!$A126='Состав ВТК'!$B119,$I$10='Состав ВТК'!$I119),$F126*$D126*VLOOKUP('Расчет участников НИР'!$B126,Расценка!$C$3:$E$13,3,FALSE),0),0),2),"-")</f>
        <v>0</v>
      </c>
      <c r="J126" s="296">
        <f>IFERROR(ROUND(IF('Состав ВТК'!$K119=справочник!$A$5,IF(AND('Расчет участников НИР'!$A126='Состав ВТК'!$B119,$J$10='Состав ВТК'!$I119),$F126*$D126*VLOOKUP('Расчет участников НИР'!$B126,Расценка!$C$3:$E$13,3,FALSE),0),0),2),"-")</f>
        <v>0</v>
      </c>
      <c r="K126" s="296">
        <f>IFERROR(ROUND(IF('Состав ВТК'!$K119=справочник!$A$5,IF(AND('Расчет участников НИР'!$A126='Состав ВТК'!$B119,$K$10='Состав ВТК'!$I119),$F126*$D126*VLOOKUP('Расчет участников НИР'!$B126,Расценка!$C$3:$E$13,3,FALSE),0),0),2),"-")</f>
        <v>0</v>
      </c>
      <c r="L126" s="297"/>
      <c r="M126" s="295">
        <f t="shared" si="22"/>
        <v>0</v>
      </c>
      <c r="N126" s="298">
        <f>IFERROR(ROUND(IF('Состав ВТК'!$K119=справочник!$A$5,(IF(AND($A126='Состав ВТК'!$B119,$N$10=$C126),$F126*$D126*VLOOKUP($B126,Расценка!$H$3:$K$9,4,FALSE),0)),0),2),"-")</f>
        <v>0</v>
      </c>
      <c r="O126" s="298">
        <f>IFERROR(ROUND(IF('Состав ВТК'!$K119=справочник!$A$5,(IF(AND($A126='Состав ВТК'!$B119,$O$10=$C126),$F126*$D126*VLOOKUP($B126,Расценка!$H$3:$K$9,4,FALSE),0)),0),2),"-")</f>
        <v>0</v>
      </c>
      <c r="P126" s="299">
        <f t="shared" si="23"/>
        <v>0</v>
      </c>
      <c r="Q126" s="300">
        <f t="shared" si="15"/>
        <v>0</v>
      </c>
      <c r="R126" s="300">
        <f t="shared" si="16"/>
        <v>0</v>
      </c>
      <c r="S126" s="295">
        <f t="shared" si="24"/>
        <v>0</v>
      </c>
      <c r="T126" s="298">
        <f>IFERROR(ROUND(IF(AND('Расчет участников НИР'!$A126='Состав ВТК'!$B119,'Расчет участников НИР'!$T$10='Состав ВТК'!$I119),$E126,0),2),"-")</f>
        <v>0</v>
      </c>
      <c r="U126" s="298">
        <f>IFERROR(ROUND(IF(AND('Расчет участников НИР'!$A126='Состав ВТК'!$B119,'Расчет участников НИР'!$U$10='Состав ВТК'!$I119),$E126,0),2),"-")</f>
        <v>0</v>
      </c>
      <c r="V126" s="298">
        <f>IFERROR(ROUND(IF(AND('Расчет участников НИР'!$A126='Состав ВТК'!$B119,'Расчет участников НИР'!$V$10='Состав ВТК'!$I119),$E126,0),2),"-")</f>
        <v>0</v>
      </c>
      <c r="W126" s="301" t="str">
        <f t="shared" si="25"/>
        <v>-</v>
      </c>
      <c r="X126" s="301" t="str">
        <f t="shared" si="26"/>
        <v>-</v>
      </c>
      <c r="Y126" s="301" t="str">
        <f t="shared" si="27"/>
        <v>-</v>
      </c>
    </row>
    <row r="127" spans="1:25" x14ac:dyDescent="0.25">
      <c r="A127" s="217">
        <f>'Состав ВТК'!B120</f>
        <v>0</v>
      </c>
      <c r="B127" s="290">
        <f>IFERROR(VLOOKUP($A127,Распределение!$B$13:$L$113,11,FALSE),"-")</f>
        <v>0</v>
      </c>
      <c r="C127" s="291" t="str">
        <f>IFERROR(IF(VLOOKUP($B127,Расценка!$H$3:$I$9,2,FALSE)="НС",Расценка!$T$11,Расценка!$T$12),"-")</f>
        <v>-</v>
      </c>
      <c r="D127" s="291">
        <f>IFERROR(INDEX(Распределение!$1:$1048576,MATCH($A127,Распределение!$B:$B,0),MATCH($D$8,Распределение!$9:$9,0)),"---")</f>
        <v>0</v>
      </c>
      <c r="E127" s="292">
        <f>IFERROR(SUMIFS('Трудозатраты членов ВТК'!$G$17:$G$117,'Трудозатраты членов ВТК'!$D$17:$D$117,A:A),"-")</f>
        <v>0</v>
      </c>
      <c r="F127" s="293">
        <f>IFERROR(SUMIFS('Трудозатраты членов ВТК'!$F$464:$F$713,'Трудозатраты членов ВТК'!$D$464:$D$713,A:A),"-")</f>
        <v>0</v>
      </c>
      <c r="G127" s="302"/>
      <c r="H127" s="295">
        <f t="shared" si="21"/>
        <v>0</v>
      </c>
      <c r="I127" s="296">
        <f>IFERROR(ROUND(IF('Состав ВТК'!$K120=справочник!$A$5,IF(AND('Расчет участников НИР'!$A127='Состав ВТК'!$B120,$I$10='Состав ВТК'!$I120),$F127*$D127*VLOOKUP('Расчет участников НИР'!$B127,Расценка!$C$3:$E$13,3,FALSE),0),0),2),"-")</f>
        <v>0</v>
      </c>
      <c r="J127" s="296">
        <f>IFERROR(ROUND(IF('Состав ВТК'!$K120=справочник!$A$5,IF(AND('Расчет участников НИР'!$A127='Состав ВТК'!$B120,$J$10='Состав ВТК'!$I120),$F127*$D127*VLOOKUP('Расчет участников НИР'!$B127,Расценка!$C$3:$E$13,3,FALSE),0),0),2),"-")</f>
        <v>0</v>
      </c>
      <c r="K127" s="296">
        <f>IFERROR(ROUND(IF('Состав ВТК'!$K120=справочник!$A$5,IF(AND('Расчет участников НИР'!$A127='Состав ВТК'!$B120,$K$10='Состав ВТК'!$I120),$F127*$D127*VLOOKUP('Расчет участников НИР'!$B127,Расценка!$C$3:$E$13,3,FALSE),0),0),2),"-")</f>
        <v>0</v>
      </c>
      <c r="L127" s="297"/>
      <c r="M127" s="295">
        <f t="shared" si="22"/>
        <v>0</v>
      </c>
      <c r="N127" s="298">
        <f>IFERROR(ROUND(IF('Состав ВТК'!$K120=справочник!$A$5,(IF(AND($A127='Состав ВТК'!$B120,$N$10=$C127),$F127*$D127*VLOOKUP($B127,Расценка!$H$3:$K$9,4,FALSE),0)),0),2),"-")</f>
        <v>0</v>
      </c>
      <c r="O127" s="298">
        <f>IFERROR(ROUND(IF('Состав ВТК'!$K120=справочник!$A$5,(IF(AND($A127='Состав ВТК'!$B120,$O$10=$C127),$F127*$D127*VLOOKUP($B127,Расценка!$H$3:$K$9,4,FALSE),0)),0),2),"-")</f>
        <v>0</v>
      </c>
      <c r="P127" s="299">
        <f t="shared" si="23"/>
        <v>0</v>
      </c>
      <c r="Q127" s="300">
        <f t="shared" si="15"/>
        <v>0</v>
      </c>
      <c r="R127" s="300">
        <f t="shared" si="16"/>
        <v>0</v>
      </c>
      <c r="S127" s="295">
        <f t="shared" si="24"/>
        <v>0</v>
      </c>
      <c r="T127" s="298">
        <f>IFERROR(ROUND(IF(AND('Расчет участников НИР'!$A127='Состав ВТК'!$B120,'Расчет участников НИР'!$T$10='Состав ВТК'!$I120),$E127,0),2),"-")</f>
        <v>0</v>
      </c>
      <c r="U127" s="298">
        <f>IFERROR(ROUND(IF(AND('Расчет участников НИР'!$A127='Состав ВТК'!$B120,'Расчет участников НИР'!$U$10='Состав ВТК'!$I120),$E127,0),2),"-")</f>
        <v>0</v>
      </c>
      <c r="V127" s="298">
        <f>IFERROR(ROUND(IF(AND('Расчет участников НИР'!$A127='Состав ВТК'!$B120,'Расчет участников НИР'!$V$10='Состав ВТК'!$I120),$E127,0),2),"-")</f>
        <v>0</v>
      </c>
      <c r="W127" s="301" t="str">
        <f t="shared" si="25"/>
        <v>-</v>
      </c>
      <c r="X127" s="301" t="str">
        <f t="shared" si="26"/>
        <v>-</v>
      </c>
      <c r="Y127" s="301" t="str">
        <f t="shared" si="27"/>
        <v>-</v>
      </c>
    </row>
    <row r="128" spans="1:25" x14ac:dyDescent="0.25">
      <c r="A128" s="217">
        <f>'Состав ВТК'!B121</f>
        <v>0</v>
      </c>
      <c r="B128" s="290">
        <f>IFERROR(VLOOKUP($A128,Распределение!$B$13:$L$113,11,FALSE),"-")</f>
        <v>0</v>
      </c>
      <c r="C128" s="291" t="str">
        <f>IFERROR(IF(VLOOKUP($B128,Расценка!$H$3:$I$9,2,FALSE)="НС",Расценка!$T$11,Расценка!$T$12),"-")</f>
        <v>-</v>
      </c>
      <c r="D128" s="291">
        <f>IFERROR(INDEX(Распределение!$1:$1048576,MATCH($A128,Распределение!$B:$B,0),MATCH($D$8,Распределение!$9:$9,0)),"---")</f>
        <v>0</v>
      </c>
      <c r="E128" s="292">
        <f>IFERROR(SUMIFS('Трудозатраты членов ВТК'!$G$17:$G$117,'Трудозатраты членов ВТК'!$D$17:$D$117,A:A),"-")</f>
        <v>0</v>
      </c>
      <c r="F128" s="293">
        <f>IFERROR(SUMIFS('Трудозатраты членов ВТК'!$F$464:$F$713,'Трудозатраты членов ВТК'!$D$464:$D$713,A:A),"-")</f>
        <v>0</v>
      </c>
      <c r="G128" s="302"/>
      <c r="H128" s="295">
        <f t="shared" si="21"/>
        <v>0</v>
      </c>
      <c r="I128" s="296">
        <f>IFERROR(ROUND(IF('Состав ВТК'!$K121=справочник!$A$5,IF(AND('Расчет участников НИР'!$A128='Состав ВТК'!$B121,$I$10='Состав ВТК'!$I121),$F128*$D128*VLOOKUP('Расчет участников НИР'!$B128,Расценка!$C$3:$E$13,3,FALSE),0),0),2),"-")</f>
        <v>0</v>
      </c>
      <c r="J128" s="296">
        <f>IFERROR(ROUND(IF('Состав ВТК'!$K121=справочник!$A$5,IF(AND('Расчет участников НИР'!$A128='Состав ВТК'!$B121,$J$10='Состав ВТК'!$I121),$F128*$D128*VLOOKUP('Расчет участников НИР'!$B128,Расценка!$C$3:$E$13,3,FALSE),0),0),2),"-")</f>
        <v>0</v>
      </c>
      <c r="K128" s="296">
        <f>IFERROR(ROUND(IF('Состав ВТК'!$K121=справочник!$A$5,IF(AND('Расчет участников НИР'!$A128='Состав ВТК'!$B121,$K$10='Состав ВТК'!$I121),$F128*$D128*VLOOKUP('Расчет участников НИР'!$B128,Расценка!$C$3:$E$13,3,FALSE),0),0),2),"-")</f>
        <v>0</v>
      </c>
      <c r="L128" s="297"/>
      <c r="M128" s="295">
        <f t="shared" si="22"/>
        <v>0</v>
      </c>
      <c r="N128" s="298">
        <f>IFERROR(ROUND(IF('Состав ВТК'!$K121=справочник!$A$5,(IF(AND($A128='Состав ВТК'!$B121,$N$10=$C128),$F128*$D128*VLOOKUP($B128,Расценка!$H$3:$K$9,4,FALSE),0)),0),2),"-")</f>
        <v>0</v>
      </c>
      <c r="O128" s="298">
        <f>IFERROR(ROUND(IF('Состав ВТК'!$K121=справочник!$A$5,(IF(AND($A128='Состав ВТК'!$B121,$O$10=$C128),$F128*$D128*VLOOKUP($B128,Расценка!$H$3:$K$9,4,FALSE),0)),0),2),"-")</f>
        <v>0</v>
      </c>
      <c r="P128" s="299">
        <f t="shared" si="23"/>
        <v>0</v>
      </c>
      <c r="Q128" s="300">
        <f t="shared" si="15"/>
        <v>0</v>
      </c>
      <c r="R128" s="300">
        <f t="shared" si="16"/>
        <v>0</v>
      </c>
      <c r="S128" s="295">
        <f t="shared" si="24"/>
        <v>0</v>
      </c>
      <c r="T128" s="298">
        <f>IFERROR(ROUND(IF(AND('Расчет участников НИР'!$A128='Состав ВТК'!$B121,'Расчет участников НИР'!$T$10='Состав ВТК'!$I121),$E128,0),2),"-")</f>
        <v>0</v>
      </c>
      <c r="U128" s="298">
        <f>IFERROR(ROUND(IF(AND('Расчет участников НИР'!$A128='Состав ВТК'!$B121,'Расчет участников НИР'!$U$10='Состав ВТК'!$I121),$E128,0),2),"-")</f>
        <v>0</v>
      </c>
      <c r="V128" s="298">
        <f>IFERROR(ROUND(IF(AND('Расчет участников НИР'!$A128='Состав ВТК'!$B121,'Расчет участников НИР'!$V$10='Состав ВТК'!$I121),$E128,0),2),"-")</f>
        <v>0</v>
      </c>
      <c r="W128" s="301" t="str">
        <f t="shared" si="25"/>
        <v>-</v>
      </c>
      <c r="X128" s="301" t="str">
        <f t="shared" si="26"/>
        <v>-</v>
      </c>
      <c r="Y128" s="301" t="str">
        <f t="shared" si="27"/>
        <v>-</v>
      </c>
    </row>
    <row r="129" spans="1:25" x14ac:dyDescent="0.25">
      <c r="A129" s="217">
        <f>'Состав ВТК'!B122</f>
        <v>0</v>
      </c>
      <c r="B129" s="290">
        <f>IFERROR(VLOOKUP($A129,Распределение!$B$13:$L$113,11,FALSE),"-")</f>
        <v>0</v>
      </c>
      <c r="C129" s="291" t="str">
        <f>IFERROR(IF(VLOOKUP($B129,Расценка!$H$3:$I$9,2,FALSE)="НС",Расценка!$T$11,Расценка!$T$12),"-")</f>
        <v>-</v>
      </c>
      <c r="D129" s="291">
        <f>IFERROR(INDEX(Распределение!$1:$1048576,MATCH($A129,Распределение!$B:$B,0),MATCH($D$8,Распределение!$9:$9,0)),"---")</f>
        <v>0</v>
      </c>
      <c r="E129" s="292">
        <f>IFERROR(SUMIFS('Трудозатраты членов ВТК'!$G$17:$G$117,'Трудозатраты членов ВТК'!$D$17:$D$117,A:A),"-")</f>
        <v>0</v>
      </c>
      <c r="F129" s="293">
        <f>IFERROR(SUMIFS('Трудозатраты членов ВТК'!$F$464:$F$713,'Трудозатраты членов ВТК'!$D$464:$D$713,A:A),"-")</f>
        <v>0</v>
      </c>
      <c r="G129" s="302"/>
      <c r="H129" s="295">
        <f t="shared" si="21"/>
        <v>0</v>
      </c>
      <c r="I129" s="296">
        <f>IFERROR(ROUND(IF('Состав ВТК'!$K122=справочник!$A$5,IF(AND('Расчет участников НИР'!$A129='Состав ВТК'!$B122,$I$10='Состав ВТК'!$I122),$F129*$D129*VLOOKUP('Расчет участников НИР'!$B129,Расценка!$C$3:$E$13,3,FALSE),0),0),2),"-")</f>
        <v>0</v>
      </c>
      <c r="J129" s="296">
        <f>IFERROR(ROUND(IF('Состав ВТК'!$K122=справочник!$A$5,IF(AND('Расчет участников НИР'!$A129='Состав ВТК'!$B122,$J$10='Состав ВТК'!$I122),$F129*$D129*VLOOKUP('Расчет участников НИР'!$B129,Расценка!$C$3:$E$13,3,FALSE),0),0),2),"-")</f>
        <v>0</v>
      </c>
      <c r="K129" s="296">
        <f>IFERROR(ROUND(IF('Состав ВТК'!$K122=справочник!$A$5,IF(AND('Расчет участников НИР'!$A129='Состав ВТК'!$B122,$K$10='Состав ВТК'!$I122),$F129*$D129*VLOOKUP('Расчет участников НИР'!$B129,Расценка!$C$3:$E$13,3,FALSE),0),0),2),"-")</f>
        <v>0</v>
      </c>
      <c r="L129" s="297"/>
      <c r="M129" s="295">
        <f t="shared" si="22"/>
        <v>0</v>
      </c>
      <c r="N129" s="298">
        <f>IFERROR(ROUND(IF('Состав ВТК'!$K122=справочник!$A$5,(IF(AND($A129='Состав ВТК'!$B122,$N$10=$C129),$F129*$D129*VLOOKUP($B129,Расценка!$H$3:$K$9,4,FALSE),0)),0),2),"-")</f>
        <v>0</v>
      </c>
      <c r="O129" s="298">
        <f>IFERROR(ROUND(IF('Состав ВТК'!$K122=справочник!$A$5,(IF(AND($A129='Состав ВТК'!$B122,$O$10=$C129),$F129*$D129*VLOOKUP($B129,Расценка!$H$3:$K$9,4,FALSE),0)),0),2),"-")</f>
        <v>0</v>
      </c>
      <c r="P129" s="299">
        <f t="shared" si="23"/>
        <v>0</v>
      </c>
      <c r="Q129" s="300">
        <f t="shared" si="15"/>
        <v>0</v>
      </c>
      <c r="R129" s="300">
        <f t="shared" si="16"/>
        <v>0</v>
      </c>
      <c r="S129" s="295">
        <f t="shared" si="24"/>
        <v>0</v>
      </c>
      <c r="T129" s="298">
        <f>IFERROR(ROUND(IF(AND('Расчет участников НИР'!$A129='Состав ВТК'!$B122,'Расчет участников НИР'!$T$10='Состав ВТК'!$I122),$E129,0),2),"-")</f>
        <v>0</v>
      </c>
      <c r="U129" s="298">
        <f>IFERROR(ROUND(IF(AND('Расчет участников НИР'!$A129='Состав ВТК'!$B122,'Расчет участников НИР'!$U$10='Состав ВТК'!$I122),$E129,0),2),"-")</f>
        <v>0</v>
      </c>
      <c r="V129" s="298">
        <f>IFERROR(ROUND(IF(AND('Расчет участников НИР'!$A129='Состав ВТК'!$B122,'Расчет участников НИР'!$V$10='Состав ВТК'!$I122),$E129,0),2),"-")</f>
        <v>0</v>
      </c>
      <c r="W129" s="301" t="str">
        <f t="shared" si="25"/>
        <v>-</v>
      </c>
      <c r="X129" s="301" t="str">
        <f t="shared" si="26"/>
        <v>-</v>
      </c>
      <c r="Y129" s="301" t="str">
        <f t="shared" si="27"/>
        <v>-</v>
      </c>
    </row>
    <row r="130" spans="1:25" x14ac:dyDescent="0.25">
      <c r="A130" s="217">
        <f>'Состав ВТК'!B123</f>
        <v>0</v>
      </c>
      <c r="B130" s="290">
        <f>IFERROR(VLOOKUP($A130,Распределение!$B$13:$L$113,11,FALSE),"-")</f>
        <v>0</v>
      </c>
      <c r="C130" s="291" t="str">
        <f>IFERROR(IF(VLOOKUP($B130,Расценка!$H$3:$I$9,2,FALSE)="НС",Расценка!$T$11,Расценка!$T$12),"-")</f>
        <v>-</v>
      </c>
      <c r="D130" s="291">
        <f>IFERROR(INDEX(Распределение!$1:$1048576,MATCH($A130,Распределение!$B:$B,0),MATCH($D$8,Распределение!$9:$9,0)),"---")</f>
        <v>0</v>
      </c>
      <c r="E130" s="292">
        <f>IFERROR(SUMIFS('Трудозатраты членов ВТК'!$G$17:$G$117,'Трудозатраты членов ВТК'!$D$17:$D$117,A:A),"-")</f>
        <v>0</v>
      </c>
      <c r="F130" s="293">
        <f>IFERROR(SUMIFS('Трудозатраты членов ВТК'!$F$464:$F$713,'Трудозатраты членов ВТК'!$D$464:$D$713,A:A),"-")</f>
        <v>0</v>
      </c>
      <c r="G130" s="302"/>
      <c r="H130" s="295">
        <f t="shared" si="21"/>
        <v>0</v>
      </c>
      <c r="I130" s="296">
        <f>IFERROR(ROUND(IF('Состав ВТК'!$K123=справочник!$A$5,IF(AND('Расчет участников НИР'!$A130='Состав ВТК'!$B123,$I$10='Состав ВТК'!$I123),$F130*$D130*VLOOKUP('Расчет участников НИР'!$B130,Расценка!$C$3:$E$13,3,FALSE),0),0),2),"-")</f>
        <v>0</v>
      </c>
      <c r="J130" s="296">
        <f>IFERROR(ROUND(IF('Состав ВТК'!$K123=справочник!$A$5,IF(AND('Расчет участников НИР'!$A130='Состав ВТК'!$B123,$J$10='Состав ВТК'!$I123),$F130*$D130*VLOOKUP('Расчет участников НИР'!$B130,Расценка!$C$3:$E$13,3,FALSE),0),0),2),"-")</f>
        <v>0</v>
      </c>
      <c r="K130" s="296">
        <f>IFERROR(ROUND(IF('Состав ВТК'!$K123=справочник!$A$5,IF(AND('Расчет участников НИР'!$A130='Состав ВТК'!$B123,$K$10='Состав ВТК'!$I123),$F130*$D130*VLOOKUP('Расчет участников НИР'!$B130,Расценка!$C$3:$E$13,3,FALSE),0),0),2),"-")</f>
        <v>0</v>
      </c>
      <c r="L130" s="297"/>
      <c r="M130" s="295">
        <f t="shared" si="22"/>
        <v>0</v>
      </c>
      <c r="N130" s="298">
        <f>IFERROR(ROUND(IF('Состав ВТК'!$K123=справочник!$A$5,(IF(AND($A130='Состав ВТК'!$B123,$N$10=$C130),$F130*$D130*VLOOKUP($B130,Расценка!$H$3:$K$9,4,FALSE),0)),0),2),"-")</f>
        <v>0</v>
      </c>
      <c r="O130" s="298">
        <f>IFERROR(ROUND(IF('Состав ВТК'!$K123=справочник!$A$5,(IF(AND($A130='Состав ВТК'!$B123,$O$10=$C130),$F130*$D130*VLOOKUP($B130,Расценка!$H$3:$K$9,4,FALSE),0)),0),2),"-")</f>
        <v>0</v>
      </c>
      <c r="P130" s="299">
        <f t="shared" si="23"/>
        <v>0</v>
      </c>
      <c r="Q130" s="300">
        <f t="shared" si="15"/>
        <v>0</v>
      </c>
      <c r="R130" s="300">
        <f t="shared" si="16"/>
        <v>0</v>
      </c>
      <c r="S130" s="295">
        <f t="shared" si="24"/>
        <v>0</v>
      </c>
      <c r="T130" s="298">
        <f>IFERROR(ROUND(IF(AND('Расчет участников НИР'!$A130='Состав ВТК'!$B123,'Расчет участников НИР'!$T$10='Состав ВТК'!$I123),$E130,0),2),"-")</f>
        <v>0</v>
      </c>
      <c r="U130" s="298">
        <f>IFERROR(ROUND(IF(AND('Расчет участников НИР'!$A130='Состав ВТК'!$B123,'Расчет участников НИР'!$U$10='Состав ВТК'!$I123),$E130,0),2),"-")</f>
        <v>0</v>
      </c>
      <c r="V130" s="298">
        <f>IFERROR(ROUND(IF(AND('Расчет участников НИР'!$A130='Состав ВТК'!$B123,'Расчет участников НИР'!$V$10='Состав ВТК'!$I123),$E130,0),2),"-")</f>
        <v>0</v>
      </c>
      <c r="W130" s="301" t="str">
        <f t="shared" si="25"/>
        <v>-</v>
      </c>
      <c r="X130" s="301" t="str">
        <f t="shared" si="26"/>
        <v>-</v>
      </c>
      <c r="Y130" s="301" t="str">
        <f t="shared" si="27"/>
        <v>-</v>
      </c>
    </row>
    <row r="131" spans="1:25" x14ac:dyDescent="0.25">
      <c r="A131" s="217">
        <f>'Состав ВТК'!B124</f>
        <v>0</v>
      </c>
      <c r="B131" s="290">
        <f>IFERROR(VLOOKUP($A131,Распределение!$B$13:$L$113,11,FALSE),"-")</f>
        <v>0</v>
      </c>
      <c r="C131" s="291" t="str">
        <f>IFERROR(IF(VLOOKUP($B131,Расценка!$H$3:$I$9,2,FALSE)="НС",Расценка!$T$11,Расценка!$T$12),"-")</f>
        <v>-</v>
      </c>
      <c r="D131" s="291">
        <f>IFERROR(INDEX(Распределение!$1:$1048576,MATCH($A131,Распределение!$B:$B,0),MATCH($D$8,Распределение!$9:$9,0)),"---")</f>
        <v>0</v>
      </c>
      <c r="E131" s="292">
        <f>IFERROR(SUMIFS('Трудозатраты членов ВТК'!$G$17:$G$117,'Трудозатраты членов ВТК'!$D$17:$D$117,A:A),"-")</f>
        <v>0</v>
      </c>
      <c r="F131" s="293">
        <f>IFERROR(SUMIFS('Трудозатраты членов ВТК'!$F$464:$F$713,'Трудозатраты членов ВТК'!$D$464:$D$713,A:A),"-")</f>
        <v>0</v>
      </c>
      <c r="G131" s="302"/>
      <c r="H131" s="295">
        <f t="shared" si="21"/>
        <v>0</v>
      </c>
      <c r="I131" s="296">
        <f>IFERROR(ROUND(IF('Состав ВТК'!$K124=справочник!$A$5,IF(AND('Расчет участников НИР'!$A131='Состав ВТК'!$B124,$I$10='Состав ВТК'!$I124),$F131*$D131*VLOOKUP('Расчет участников НИР'!$B131,Расценка!$C$3:$E$13,3,FALSE),0),0),2),"-")</f>
        <v>0</v>
      </c>
      <c r="J131" s="296">
        <f>IFERROR(ROUND(IF('Состав ВТК'!$K124=справочник!$A$5,IF(AND('Расчет участников НИР'!$A131='Состав ВТК'!$B124,$J$10='Состав ВТК'!$I124),$F131*$D131*VLOOKUP('Расчет участников НИР'!$B131,Расценка!$C$3:$E$13,3,FALSE),0),0),2),"-")</f>
        <v>0</v>
      </c>
      <c r="K131" s="296">
        <f>IFERROR(ROUND(IF('Состав ВТК'!$K124=справочник!$A$5,IF(AND('Расчет участников НИР'!$A131='Состав ВТК'!$B124,$K$10='Состав ВТК'!$I124),$F131*$D131*VLOOKUP('Расчет участников НИР'!$B131,Расценка!$C$3:$E$13,3,FALSE),0),0),2),"-")</f>
        <v>0</v>
      </c>
      <c r="L131" s="297"/>
      <c r="M131" s="295">
        <f t="shared" si="22"/>
        <v>0</v>
      </c>
      <c r="N131" s="298">
        <f>IFERROR(ROUND(IF('Состав ВТК'!$K124=справочник!$A$5,(IF(AND($A131='Состав ВТК'!$B124,$N$10=$C131),$F131*$D131*VLOOKUP($B131,Расценка!$H$3:$K$9,4,FALSE),0)),0),2),"-")</f>
        <v>0</v>
      </c>
      <c r="O131" s="298">
        <f>IFERROR(ROUND(IF('Состав ВТК'!$K124=справочник!$A$5,(IF(AND($A131='Состав ВТК'!$B124,$O$10=$C131),$F131*$D131*VLOOKUP($B131,Расценка!$H$3:$K$9,4,FALSE),0)),0),2),"-")</f>
        <v>0</v>
      </c>
      <c r="P131" s="299">
        <f t="shared" si="23"/>
        <v>0</v>
      </c>
      <c r="Q131" s="300">
        <f t="shared" si="15"/>
        <v>0</v>
      </c>
      <c r="R131" s="300">
        <f t="shared" si="16"/>
        <v>0</v>
      </c>
      <c r="S131" s="295">
        <f t="shared" si="24"/>
        <v>0</v>
      </c>
      <c r="T131" s="298">
        <f>IFERROR(ROUND(IF(AND('Расчет участников НИР'!$A131='Состав ВТК'!$B124,'Расчет участников НИР'!$T$10='Состав ВТК'!$I124),$E131,0),2),"-")</f>
        <v>0</v>
      </c>
      <c r="U131" s="298">
        <f>IFERROR(ROUND(IF(AND('Расчет участников НИР'!$A131='Состав ВТК'!$B124,'Расчет участников НИР'!$U$10='Состав ВТК'!$I124),$E131,0),2),"-")</f>
        <v>0</v>
      </c>
      <c r="V131" s="298">
        <f>IFERROR(ROUND(IF(AND('Расчет участников НИР'!$A131='Состав ВТК'!$B124,'Расчет участников НИР'!$V$10='Состав ВТК'!$I124),$E131,0),2),"-")</f>
        <v>0</v>
      </c>
      <c r="W131" s="301" t="str">
        <f t="shared" si="25"/>
        <v>-</v>
      </c>
      <c r="X131" s="301" t="str">
        <f t="shared" si="26"/>
        <v>-</v>
      </c>
      <c r="Y131" s="301" t="str">
        <f t="shared" si="27"/>
        <v>-</v>
      </c>
    </row>
    <row r="132" spans="1:25" x14ac:dyDescent="0.25">
      <c r="A132" s="217">
        <f>'Состав ВТК'!B125</f>
        <v>0</v>
      </c>
      <c r="B132" s="290">
        <f>IFERROR(VLOOKUP($A132,Распределение!$B$13:$L$113,11,FALSE),"-")</f>
        <v>0</v>
      </c>
      <c r="C132" s="291" t="str">
        <f>IFERROR(IF(VLOOKUP($B132,Расценка!$H$3:$I$9,2,FALSE)="НС",Расценка!$T$11,Расценка!$T$12),"-")</f>
        <v>-</v>
      </c>
      <c r="D132" s="291">
        <f>IFERROR(INDEX(Распределение!$1:$1048576,MATCH($A132,Распределение!$B:$B,0),MATCH($D$8,Распределение!$9:$9,0)),"---")</f>
        <v>0</v>
      </c>
      <c r="E132" s="292">
        <f>IFERROR(SUMIFS('Трудозатраты членов ВТК'!$G$17:$G$117,'Трудозатраты членов ВТК'!$D$17:$D$117,A:A),"-")</f>
        <v>0</v>
      </c>
      <c r="F132" s="293">
        <f>IFERROR(SUMIFS('Трудозатраты членов ВТК'!$F$464:$F$713,'Трудозатраты членов ВТК'!$D$464:$D$713,A:A),"-")</f>
        <v>0</v>
      </c>
      <c r="G132" s="302"/>
      <c r="H132" s="295">
        <f t="shared" si="21"/>
        <v>0</v>
      </c>
      <c r="I132" s="296">
        <f>IFERROR(ROUND(IF('Состав ВТК'!$K125=справочник!$A$5,IF(AND('Расчет участников НИР'!$A132='Состав ВТК'!$B125,$I$10='Состав ВТК'!$I125),$F132*$D132*VLOOKUP('Расчет участников НИР'!$B132,Расценка!$C$3:$E$13,3,FALSE),0),0),2),"-")</f>
        <v>0</v>
      </c>
      <c r="J132" s="296">
        <f>IFERROR(ROUND(IF('Состав ВТК'!$K125=справочник!$A$5,IF(AND('Расчет участников НИР'!$A132='Состав ВТК'!$B125,$J$10='Состав ВТК'!$I125),$F132*$D132*VLOOKUP('Расчет участников НИР'!$B132,Расценка!$C$3:$E$13,3,FALSE),0),0),2),"-")</f>
        <v>0</v>
      </c>
      <c r="K132" s="296">
        <f>IFERROR(ROUND(IF('Состав ВТК'!$K125=справочник!$A$5,IF(AND('Расчет участников НИР'!$A132='Состав ВТК'!$B125,$K$10='Состав ВТК'!$I125),$F132*$D132*VLOOKUP('Расчет участников НИР'!$B132,Расценка!$C$3:$E$13,3,FALSE),0),0),2),"-")</f>
        <v>0</v>
      </c>
      <c r="L132" s="297"/>
      <c r="M132" s="295">
        <f t="shared" si="22"/>
        <v>0</v>
      </c>
      <c r="N132" s="298">
        <f>IFERROR(ROUND(IF('Состав ВТК'!$K125=справочник!$A$5,(IF(AND($A132='Состав ВТК'!$B125,$N$10=$C132),$F132*$D132*VLOOKUP($B132,Расценка!$H$3:$K$9,4,FALSE),0)),0),2),"-")</f>
        <v>0</v>
      </c>
      <c r="O132" s="298">
        <f>IFERROR(ROUND(IF('Состав ВТК'!$K125=справочник!$A$5,(IF(AND($A132='Состав ВТК'!$B125,$O$10=$C132),$F132*$D132*VLOOKUP($B132,Расценка!$H$3:$K$9,4,FALSE),0)),0),2),"-")</f>
        <v>0</v>
      </c>
      <c r="P132" s="299">
        <f t="shared" si="23"/>
        <v>0</v>
      </c>
      <c r="Q132" s="300">
        <f t="shared" si="15"/>
        <v>0</v>
      </c>
      <c r="R132" s="300">
        <f t="shared" si="16"/>
        <v>0</v>
      </c>
      <c r="S132" s="295">
        <f t="shared" si="24"/>
        <v>0</v>
      </c>
      <c r="T132" s="298">
        <f>IFERROR(ROUND(IF(AND('Расчет участников НИР'!$A132='Состав ВТК'!$B125,'Расчет участников НИР'!$T$10='Состав ВТК'!$I125),$E132,0),2),"-")</f>
        <v>0</v>
      </c>
      <c r="U132" s="298">
        <f>IFERROR(ROUND(IF(AND('Расчет участников НИР'!$A132='Состав ВТК'!$B125,'Расчет участников НИР'!$U$10='Состав ВТК'!$I125),$E132,0),2),"-")</f>
        <v>0</v>
      </c>
      <c r="V132" s="298">
        <f>IFERROR(ROUND(IF(AND('Расчет участников НИР'!$A132='Состав ВТК'!$B125,'Расчет участников НИР'!$V$10='Состав ВТК'!$I125),$E132,0),2),"-")</f>
        <v>0</v>
      </c>
      <c r="W132" s="301" t="str">
        <f t="shared" si="25"/>
        <v>-</v>
      </c>
      <c r="X132" s="301" t="str">
        <f t="shared" si="26"/>
        <v>-</v>
      </c>
      <c r="Y132" s="301" t="str">
        <f t="shared" si="27"/>
        <v>-</v>
      </c>
    </row>
    <row r="133" spans="1:25" x14ac:dyDescent="0.25">
      <c r="A133" s="217">
        <f>'Состав ВТК'!B126</f>
        <v>0</v>
      </c>
      <c r="B133" s="290">
        <f>IFERROR(VLOOKUP($A133,Распределение!$B$13:$L$113,11,FALSE),"-")</f>
        <v>0</v>
      </c>
      <c r="C133" s="291" t="str">
        <f>IFERROR(IF(VLOOKUP($B133,Расценка!$H$3:$I$9,2,FALSE)="НС",Расценка!$T$11,Расценка!$T$12),"-")</f>
        <v>-</v>
      </c>
      <c r="D133" s="291">
        <f>IFERROR(INDEX(Распределение!$1:$1048576,MATCH($A133,Распределение!$B:$B,0),MATCH($D$8,Распределение!$9:$9,0)),"---")</f>
        <v>0</v>
      </c>
      <c r="E133" s="292">
        <f>IFERROR(SUMIFS('Трудозатраты членов ВТК'!$G$17:$G$117,'Трудозатраты членов ВТК'!$D$17:$D$117,A:A),"-")</f>
        <v>0</v>
      </c>
      <c r="F133" s="293">
        <f>IFERROR(SUMIFS('Трудозатраты членов ВТК'!$F$464:$F$713,'Трудозатраты членов ВТК'!$D$464:$D$713,A:A),"-")</f>
        <v>0</v>
      </c>
      <c r="G133" s="302"/>
      <c r="H133" s="295">
        <f t="shared" si="21"/>
        <v>0</v>
      </c>
      <c r="I133" s="296">
        <f>IFERROR(ROUND(IF('Состав ВТК'!$K126=справочник!$A$5,IF(AND('Расчет участников НИР'!$A133='Состав ВТК'!$B126,$I$10='Состав ВТК'!$I126),$F133*$D133*VLOOKUP('Расчет участников НИР'!$B133,Расценка!$C$3:$E$13,3,FALSE),0),0),2),"-")</f>
        <v>0</v>
      </c>
      <c r="J133" s="296">
        <f>IFERROR(ROUND(IF('Состав ВТК'!$K126=справочник!$A$5,IF(AND('Расчет участников НИР'!$A133='Состав ВТК'!$B126,$J$10='Состав ВТК'!$I126),$F133*$D133*VLOOKUP('Расчет участников НИР'!$B133,Расценка!$C$3:$E$13,3,FALSE),0),0),2),"-")</f>
        <v>0</v>
      </c>
      <c r="K133" s="296">
        <f>IFERROR(ROUND(IF('Состав ВТК'!$K126=справочник!$A$5,IF(AND('Расчет участников НИР'!$A133='Состав ВТК'!$B126,$K$10='Состав ВТК'!$I126),$F133*$D133*VLOOKUP('Расчет участников НИР'!$B133,Расценка!$C$3:$E$13,3,FALSE),0),0),2),"-")</f>
        <v>0</v>
      </c>
      <c r="L133" s="297"/>
      <c r="M133" s="295">
        <f t="shared" si="22"/>
        <v>0</v>
      </c>
      <c r="N133" s="298">
        <f>IFERROR(ROUND(IF('Состав ВТК'!$K126=справочник!$A$5,(IF(AND($A133='Состав ВТК'!$B126,$N$10=$C133),$F133*$D133*VLOOKUP($B133,Расценка!$H$3:$K$9,4,FALSE),0)),0),2),"-")</f>
        <v>0</v>
      </c>
      <c r="O133" s="298">
        <f>IFERROR(ROUND(IF('Состав ВТК'!$K126=справочник!$A$5,(IF(AND($A133='Состав ВТК'!$B126,$O$10=$C133),$F133*$D133*VLOOKUP($B133,Расценка!$H$3:$K$9,4,FALSE),0)),0),2),"-")</f>
        <v>0</v>
      </c>
      <c r="P133" s="299">
        <f t="shared" si="23"/>
        <v>0</v>
      </c>
      <c r="Q133" s="300">
        <f t="shared" si="15"/>
        <v>0</v>
      </c>
      <c r="R133" s="300">
        <f t="shared" si="16"/>
        <v>0</v>
      </c>
      <c r="S133" s="295">
        <f t="shared" si="24"/>
        <v>0</v>
      </c>
      <c r="T133" s="298">
        <f>IFERROR(ROUND(IF(AND('Расчет участников НИР'!$A133='Состав ВТК'!$B126,'Расчет участников НИР'!$T$10='Состав ВТК'!$I126),$E133,0),2),"-")</f>
        <v>0</v>
      </c>
      <c r="U133" s="298">
        <f>IFERROR(ROUND(IF(AND('Расчет участников НИР'!$A133='Состав ВТК'!$B126,'Расчет участников НИР'!$U$10='Состав ВТК'!$I126),$E133,0),2),"-")</f>
        <v>0</v>
      </c>
      <c r="V133" s="298">
        <f>IFERROR(ROUND(IF(AND('Расчет участников НИР'!$A133='Состав ВТК'!$B126,'Расчет участников НИР'!$V$10='Состав ВТК'!$I126),$E133,0),2),"-")</f>
        <v>0</v>
      </c>
      <c r="W133" s="301" t="str">
        <f t="shared" si="25"/>
        <v>-</v>
      </c>
      <c r="X133" s="301" t="str">
        <f t="shared" si="26"/>
        <v>-</v>
      </c>
      <c r="Y133" s="301" t="str">
        <f t="shared" si="27"/>
        <v>-</v>
      </c>
    </row>
    <row r="134" spans="1:25" x14ac:dyDescent="0.25">
      <c r="A134" s="217">
        <f>'Состав ВТК'!B127</f>
        <v>0</v>
      </c>
      <c r="B134" s="290">
        <f>IFERROR(VLOOKUP($A134,Распределение!$B$13:$L$113,11,FALSE),"-")</f>
        <v>0</v>
      </c>
      <c r="C134" s="291" t="str">
        <f>IFERROR(IF(VLOOKUP($B134,Расценка!$H$3:$I$9,2,FALSE)="НС",Расценка!$T$11,Расценка!$T$12),"-")</f>
        <v>-</v>
      </c>
      <c r="D134" s="291">
        <f>IFERROR(INDEX(Распределение!$1:$1048576,MATCH($A134,Распределение!$B:$B,0),MATCH($D$8,Распределение!$9:$9,0)),"---")</f>
        <v>0</v>
      </c>
      <c r="E134" s="292">
        <f>IFERROR(SUMIFS('Трудозатраты членов ВТК'!$G$17:$G$117,'Трудозатраты членов ВТК'!$D$17:$D$117,A:A),"-")</f>
        <v>0</v>
      </c>
      <c r="F134" s="293">
        <f>IFERROR(SUMIFS('Трудозатраты членов ВТК'!$F$464:$F$713,'Трудозатраты членов ВТК'!$D$464:$D$713,A:A),"-")</f>
        <v>0</v>
      </c>
      <c r="G134" s="302"/>
      <c r="H134" s="295">
        <f t="shared" si="21"/>
        <v>0</v>
      </c>
      <c r="I134" s="296">
        <f>IFERROR(ROUND(IF('Состав ВТК'!$K127=справочник!$A$5,IF(AND('Расчет участников НИР'!$A134='Состав ВТК'!$B127,$I$10='Состав ВТК'!$I127),$F134*$D134*VLOOKUP('Расчет участников НИР'!$B134,Расценка!$C$3:$E$13,3,FALSE),0),0),2),"-")</f>
        <v>0</v>
      </c>
      <c r="J134" s="296">
        <f>IFERROR(ROUND(IF('Состав ВТК'!$K127=справочник!$A$5,IF(AND('Расчет участников НИР'!$A134='Состав ВТК'!$B127,$J$10='Состав ВТК'!$I127),$F134*$D134*VLOOKUP('Расчет участников НИР'!$B134,Расценка!$C$3:$E$13,3,FALSE),0),0),2),"-")</f>
        <v>0</v>
      </c>
      <c r="K134" s="296">
        <f>IFERROR(ROUND(IF('Состав ВТК'!$K127=справочник!$A$5,IF(AND('Расчет участников НИР'!$A134='Состав ВТК'!$B127,$K$10='Состав ВТК'!$I127),$F134*$D134*VLOOKUP('Расчет участников НИР'!$B134,Расценка!$C$3:$E$13,3,FALSE),0),0),2),"-")</f>
        <v>0</v>
      </c>
      <c r="L134" s="297"/>
      <c r="M134" s="295">
        <f t="shared" si="22"/>
        <v>0</v>
      </c>
      <c r="N134" s="298">
        <f>IFERROR(ROUND(IF('Состав ВТК'!$K127=справочник!$A$5,(IF(AND($A134='Состав ВТК'!$B127,$N$10=$C134),$F134*$D134*VLOOKUP($B134,Расценка!$H$3:$K$9,4,FALSE),0)),0),2),"-")</f>
        <v>0</v>
      </c>
      <c r="O134" s="298">
        <f>IFERROR(ROUND(IF('Состав ВТК'!$K127=справочник!$A$5,(IF(AND($A134='Состав ВТК'!$B127,$O$10=$C134),$F134*$D134*VLOOKUP($B134,Расценка!$H$3:$K$9,4,FALSE),0)),0),2),"-")</f>
        <v>0</v>
      </c>
      <c r="P134" s="299">
        <f t="shared" si="23"/>
        <v>0</v>
      </c>
      <c r="Q134" s="300">
        <f t="shared" si="15"/>
        <v>0</v>
      </c>
      <c r="R134" s="300">
        <f t="shared" si="16"/>
        <v>0</v>
      </c>
      <c r="S134" s="295">
        <f t="shared" si="24"/>
        <v>0</v>
      </c>
      <c r="T134" s="298">
        <f>IFERROR(ROUND(IF(AND('Расчет участников НИР'!$A134='Состав ВТК'!$B127,'Расчет участников НИР'!$T$10='Состав ВТК'!$I127),$E134,0),2),"-")</f>
        <v>0</v>
      </c>
      <c r="U134" s="298">
        <f>IFERROR(ROUND(IF(AND('Расчет участников НИР'!$A134='Состав ВТК'!$B127,'Расчет участников НИР'!$U$10='Состав ВТК'!$I127),$E134,0),2),"-")</f>
        <v>0</v>
      </c>
      <c r="V134" s="298">
        <f>IFERROR(ROUND(IF(AND('Расчет участников НИР'!$A134='Состав ВТК'!$B127,'Расчет участников НИР'!$V$10='Состав ВТК'!$I127),$E134,0),2),"-")</f>
        <v>0</v>
      </c>
      <c r="W134" s="301" t="str">
        <f t="shared" si="25"/>
        <v>-</v>
      </c>
      <c r="X134" s="301" t="str">
        <f t="shared" si="26"/>
        <v>-</v>
      </c>
      <c r="Y134" s="301" t="str">
        <f t="shared" si="27"/>
        <v>-</v>
      </c>
    </row>
    <row r="135" spans="1:25" x14ac:dyDescent="0.25">
      <c r="A135" s="217">
        <f>'Состав ВТК'!B128</f>
        <v>0</v>
      </c>
      <c r="B135" s="290">
        <f>IFERROR(VLOOKUP($A135,Распределение!$B$13:$L$113,11,FALSE),"-")</f>
        <v>0</v>
      </c>
      <c r="C135" s="291" t="str">
        <f>IFERROR(IF(VLOOKUP($B135,Расценка!$H$3:$I$9,2,FALSE)="НС",Расценка!$T$11,Расценка!$T$12),"-")</f>
        <v>-</v>
      </c>
      <c r="D135" s="291">
        <f>IFERROR(INDEX(Распределение!$1:$1048576,MATCH($A135,Распределение!$B:$B,0),MATCH($D$8,Распределение!$9:$9,0)),"---")</f>
        <v>0</v>
      </c>
      <c r="E135" s="292">
        <f>IFERROR(SUMIFS('Трудозатраты членов ВТК'!$G$17:$G$117,'Трудозатраты членов ВТК'!$D$17:$D$117,A:A),"-")</f>
        <v>0</v>
      </c>
      <c r="F135" s="293">
        <f>IFERROR(SUMIFS('Трудозатраты членов ВТК'!$F$464:$F$713,'Трудозатраты членов ВТК'!$D$464:$D$713,A:A),"-")</f>
        <v>0</v>
      </c>
      <c r="G135" s="302"/>
      <c r="H135" s="295">
        <f t="shared" si="21"/>
        <v>0</v>
      </c>
      <c r="I135" s="296">
        <f>IFERROR(ROUND(IF('Состав ВТК'!$K128=справочник!$A$5,IF(AND('Расчет участников НИР'!$A135='Состав ВТК'!$B128,$I$10='Состав ВТК'!$I128),$F135*$D135*VLOOKUP('Расчет участников НИР'!$B135,Расценка!$C$3:$E$13,3,FALSE),0),0),2),"-")</f>
        <v>0</v>
      </c>
      <c r="J135" s="296">
        <f>IFERROR(ROUND(IF('Состав ВТК'!$K128=справочник!$A$5,IF(AND('Расчет участников НИР'!$A135='Состав ВТК'!$B128,$J$10='Состав ВТК'!$I128),$F135*$D135*VLOOKUP('Расчет участников НИР'!$B135,Расценка!$C$3:$E$13,3,FALSE),0),0),2),"-")</f>
        <v>0</v>
      </c>
      <c r="K135" s="296">
        <f>IFERROR(ROUND(IF('Состав ВТК'!$K128=справочник!$A$5,IF(AND('Расчет участников НИР'!$A135='Состав ВТК'!$B128,$K$10='Состав ВТК'!$I128),$F135*$D135*VLOOKUP('Расчет участников НИР'!$B135,Расценка!$C$3:$E$13,3,FALSE),0),0),2),"-")</f>
        <v>0</v>
      </c>
      <c r="L135" s="297"/>
      <c r="M135" s="295">
        <f t="shared" si="22"/>
        <v>0</v>
      </c>
      <c r="N135" s="298">
        <f>IFERROR(ROUND(IF('Состав ВТК'!$K128=справочник!$A$5,(IF(AND($A135='Состав ВТК'!$B128,$N$10=$C135),$F135*$D135*VLOOKUP($B135,Расценка!$H$3:$K$9,4,FALSE),0)),0),2),"-")</f>
        <v>0</v>
      </c>
      <c r="O135" s="298">
        <f>IFERROR(ROUND(IF('Состав ВТК'!$K128=справочник!$A$5,(IF(AND($A135='Состав ВТК'!$B128,$O$10=$C135),$F135*$D135*VLOOKUP($B135,Расценка!$H$3:$K$9,4,FALSE),0)),0),2),"-")</f>
        <v>0</v>
      </c>
      <c r="P135" s="299">
        <f t="shared" si="23"/>
        <v>0</v>
      </c>
      <c r="Q135" s="300">
        <f t="shared" si="15"/>
        <v>0</v>
      </c>
      <c r="R135" s="300">
        <f t="shared" si="16"/>
        <v>0</v>
      </c>
      <c r="S135" s="295">
        <f t="shared" si="24"/>
        <v>0</v>
      </c>
      <c r="T135" s="298">
        <f>IFERROR(ROUND(IF(AND('Расчет участников НИР'!$A135='Состав ВТК'!$B128,'Расчет участников НИР'!$T$10='Состав ВТК'!$I128),$E135,0),2),"-")</f>
        <v>0</v>
      </c>
      <c r="U135" s="298">
        <f>IFERROR(ROUND(IF(AND('Расчет участников НИР'!$A135='Состав ВТК'!$B128,'Расчет участников НИР'!$U$10='Состав ВТК'!$I128),$E135,0),2),"-")</f>
        <v>0</v>
      </c>
      <c r="V135" s="298">
        <f>IFERROR(ROUND(IF(AND('Расчет участников НИР'!$A135='Состав ВТК'!$B128,'Расчет участников НИР'!$V$10='Состав ВТК'!$I128),$E135,0),2),"-")</f>
        <v>0</v>
      </c>
      <c r="W135" s="301" t="str">
        <f t="shared" si="25"/>
        <v>-</v>
      </c>
      <c r="X135" s="301" t="str">
        <f t="shared" si="26"/>
        <v>-</v>
      </c>
      <c r="Y135" s="301" t="str">
        <f t="shared" si="27"/>
        <v>-</v>
      </c>
    </row>
    <row r="136" spans="1:25" x14ac:dyDescent="0.25">
      <c r="A136" s="217">
        <f>'Состав ВТК'!B129</f>
        <v>0</v>
      </c>
      <c r="B136" s="290">
        <f>IFERROR(VLOOKUP($A136,Распределение!$B$13:$L$113,11,FALSE),"-")</f>
        <v>0</v>
      </c>
      <c r="C136" s="291" t="str">
        <f>IFERROR(IF(VLOOKUP($B136,Расценка!$H$3:$I$9,2,FALSE)="НС",Расценка!$T$11,Расценка!$T$12),"-")</f>
        <v>-</v>
      </c>
      <c r="D136" s="291">
        <f>IFERROR(INDEX(Распределение!$1:$1048576,MATCH($A136,Распределение!$B:$B,0),MATCH($D$8,Распределение!$9:$9,0)),"---")</f>
        <v>0</v>
      </c>
      <c r="E136" s="292">
        <f>IFERROR(SUMIFS('Трудозатраты членов ВТК'!$G$17:$G$117,'Трудозатраты членов ВТК'!$D$17:$D$117,A:A),"-")</f>
        <v>0</v>
      </c>
      <c r="F136" s="293">
        <f>IFERROR(SUMIFS('Трудозатраты членов ВТК'!$F$464:$F$713,'Трудозатраты членов ВТК'!$D$464:$D$713,A:A),"-")</f>
        <v>0</v>
      </c>
      <c r="G136" s="302"/>
      <c r="H136" s="295">
        <f t="shared" si="21"/>
        <v>0</v>
      </c>
      <c r="I136" s="296">
        <f>IFERROR(ROUND(IF('Состав ВТК'!$K129=справочник!$A$5,IF(AND('Расчет участников НИР'!$A136='Состав ВТК'!$B129,$I$10='Состав ВТК'!$I129),$F136*$D136*VLOOKUP('Расчет участников НИР'!$B136,Расценка!$C$3:$E$13,3,FALSE),0),0),2),"-")</f>
        <v>0</v>
      </c>
      <c r="J136" s="296">
        <f>IFERROR(ROUND(IF('Состав ВТК'!$K129=справочник!$A$5,IF(AND('Расчет участников НИР'!$A136='Состав ВТК'!$B129,$J$10='Состав ВТК'!$I129),$F136*$D136*VLOOKUP('Расчет участников НИР'!$B136,Расценка!$C$3:$E$13,3,FALSE),0),0),2),"-")</f>
        <v>0</v>
      </c>
      <c r="K136" s="296">
        <f>IFERROR(ROUND(IF('Состав ВТК'!$K129=справочник!$A$5,IF(AND('Расчет участников НИР'!$A136='Состав ВТК'!$B129,$K$10='Состав ВТК'!$I129),$F136*$D136*VLOOKUP('Расчет участников НИР'!$B136,Расценка!$C$3:$E$13,3,FALSE),0),0),2),"-")</f>
        <v>0</v>
      </c>
      <c r="L136" s="297"/>
      <c r="M136" s="295">
        <f t="shared" si="22"/>
        <v>0</v>
      </c>
      <c r="N136" s="298">
        <f>IFERROR(ROUND(IF('Состав ВТК'!$K129=справочник!$A$5,(IF(AND($A136='Состав ВТК'!$B129,$N$10=$C136),$F136*$D136*VLOOKUP($B136,Расценка!$H$3:$K$9,4,FALSE),0)),0),2),"-")</f>
        <v>0</v>
      </c>
      <c r="O136" s="298">
        <f>IFERROR(ROUND(IF('Состав ВТК'!$K129=справочник!$A$5,(IF(AND($A136='Состав ВТК'!$B129,$O$10=$C136),$F136*$D136*VLOOKUP($B136,Расценка!$H$3:$K$9,4,FALSE),0)),0),2),"-")</f>
        <v>0</v>
      </c>
      <c r="P136" s="299">
        <f t="shared" si="23"/>
        <v>0</v>
      </c>
      <c r="Q136" s="300">
        <f t="shared" si="15"/>
        <v>0</v>
      </c>
      <c r="R136" s="300">
        <f t="shared" si="16"/>
        <v>0</v>
      </c>
      <c r="S136" s="295">
        <f t="shared" si="24"/>
        <v>0</v>
      </c>
      <c r="T136" s="298">
        <f>IFERROR(ROUND(IF(AND('Расчет участников НИР'!$A136='Состав ВТК'!$B129,'Расчет участников НИР'!$T$10='Состав ВТК'!$I129),$E136,0),2),"-")</f>
        <v>0</v>
      </c>
      <c r="U136" s="298">
        <f>IFERROR(ROUND(IF(AND('Расчет участников НИР'!$A136='Состав ВТК'!$B129,'Расчет участников НИР'!$U$10='Состав ВТК'!$I129),$E136,0),2),"-")</f>
        <v>0</v>
      </c>
      <c r="V136" s="298">
        <f>IFERROR(ROUND(IF(AND('Расчет участников НИР'!$A136='Состав ВТК'!$B129,'Расчет участников НИР'!$V$10='Состав ВТК'!$I129),$E136,0),2),"-")</f>
        <v>0</v>
      </c>
      <c r="W136" s="301" t="str">
        <f t="shared" si="25"/>
        <v>-</v>
      </c>
      <c r="X136" s="301" t="str">
        <f t="shared" si="26"/>
        <v>-</v>
      </c>
      <c r="Y136" s="301" t="str">
        <f t="shared" si="27"/>
        <v>-</v>
      </c>
    </row>
    <row r="137" spans="1:25" x14ac:dyDescent="0.25">
      <c r="A137" s="217">
        <f>'Состав ВТК'!B130</f>
        <v>0</v>
      </c>
      <c r="B137" s="290">
        <f>IFERROR(VLOOKUP($A137,Распределение!$B$13:$L$113,11,FALSE),"-")</f>
        <v>0</v>
      </c>
      <c r="C137" s="291" t="str">
        <f>IFERROR(IF(VLOOKUP($B137,Расценка!$H$3:$I$9,2,FALSE)="НС",Расценка!$T$11,Расценка!$T$12),"-")</f>
        <v>-</v>
      </c>
      <c r="D137" s="291">
        <f>IFERROR(INDEX(Распределение!$1:$1048576,MATCH($A137,Распределение!$B:$B,0),MATCH($D$8,Распределение!$9:$9,0)),"---")</f>
        <v>0</v>
      </c>
      <c r="E137" s="292">
        <f>IFERROR(SUMIFS('Трудозатраты членов ВТК'!$G$17:$G$117,'Трудозатраты членов ВТК'!$D$17:$D$117,A:A),"-")</f>
        <v>0</v>
      </c>
      <c r="F137" s="293">
        <f>IFERROR(SUMIFS('Трудозатраты членов ВТК'!$F$464:$F$713,'Трудозатраты членов ВТК'!$D$464:$D$713,A:A),"-")</f>
        <v>0</v>
      </c>
      <c r="G137" s="302"/>
      <c r="H137" s="295">
        <f t="shared" si="21"/>
        <v>0</v>
      </c>
      <c r="I137" s="296">
        <f>IFERROR(ROUND(IF('Состав ВТК'!$K130=справочник!$A$5,IF(AND('Расчет участников НИР'!$A137='Состав ВТК'!$B130,$I$10='Состав ВТК'!$I130),$F137*$D137*VLOOKUP('Расчет участников НИР'!$B137,Расценка!$C$3:$E$13,3,FALSE),0),0),2),"-")</f>
        <v>0</v>
      </c>
      <c r="J137" s="296">
        <f>IFERROR(ROUND(IF('Состав ВТК'!$K130=справочник!$A$5,IF(AND('Расчет участников НИР'!$A137='Состав ВТК'!$B130,$J$10='Состав ВТК'!$I130),$F137*$D137*VLOOKUP('Расчет участников НИР'!$B137,Расценка!$C$3:$E$13,3,FALSE),0),0),2),"-")</f>
        <v>0</v>
      </c>
      <c r="K137" s="296">
        <f>IFERROR(ROUND(IF('Состав ВТК'!$K130=справочник!$A$5,IF(AND('Расчет участников НИР'!$A137='Состав ВТК'!$B130,$K$10='Состав ВТК'!$I130),$F137*$D137*VLOOKUP('Расчет участников НИР'!$B137,Расценка!$C$3:$E$13,3,FALSE),0),0),2),"-")</f>
        <v>0</v>
      </c>
      <c r="L137" s="297"/>
      <c r="M137" s="295">
        <f t="shared" si="22"/>
        <v>0</v>
      </c>
      <c r="N137" s="298">
        <f>IFERROR(ROUND(IF('Состав ВТК'!$K130=справочник!$A$5,(IF(AND($A137='Состав ВТК'!$B130,$N$10=$C137),$F137*$D137*VLOOKUP($B137,Расценка!$H$3:$K$9,4,FALSE),0)),0),2),"-")</f>
        <v>0</v>
      </c>
      <c r="O137" s="298">
        <f>IFERROR(ROUND(IF('Состав ВТК'!$K130=справочник!$A$5,(IF(AND($A137='Состав ВТК'!$B130,$O$10=$C137),$F137*$D137*VLOOKUP($B137,Расценка!$H$3:$K$9,4,FALSE),0)),0),2),"-")</f>
        <v>0</v>
      </c>
      <c r="P137" s="299">
        <f t="shared" si="23"/>
        <v>0</v>
      </c>
      <c r="Q137" s="300">
        <f t="shared" si="15"/>
        <v>0</v>
      </c>
      <c r="R137" s="300">
        <f t="shared" si="16"/>
        <v>0</v>
      </c>
      <c r="S137" s="295">
        <f t="shared" si="24"/>
        <v>0</v>
      </c>
      <c r="T137" s="298">
        <f>IFERROR(ROUND(IF(AND('Расчет участников НИР'!$A137='Состав ВТК'!$B130,'Расчет участников НИР'!$T$10='Состав ВТК'!$I130),$E137,0),2),"-")</f>
        <v>0</v>
      </c>
      <c r="U137" s="298">
        <f>IFERROR(ROUND(IF(AND('Расчет участников НИР'!$A137='Состав ВТК'!$B130,'Расчет участников НИР'!$U$10='Состав ВТК'!$I130),$E137,0),2),"-")</f>
        <v>0</v>
      </c>
      <c r="V137" s="298">
        <f>IFERROR(ROUND(IF(AND('Расчет участников НИР'!$A137='Состав ВТК'!$B130,'Расчет участников НИР'!$V$10='Состав ВТК'!$I130),$E137,0),2),"-")</f>
        <v>0</v>
      </c>
      <c r="W137" s="301" t="str">
        <f t="shared" si="25"/>
        <v>-</v>
      </c>
      <c r="X137" s="301" t="str">
        <f t="shared" si="26"/>
        <v>-</v>
      </c>
      <c r="Y137" s="301" t="str">
        <f t="shared" si="27"/>
        <v>-</v>
      </c>
    </row>
    <row r="138" spans="1:25" x14ac:dyDescent="0.25">
      <c r="A138" s="217">
        <f>'Состав ВТК'!B131</f>
        <v>0</v>
      </c>
      <c r="B138" s="290">
        <f>IFERROR(VLOOKUP($A138,Распределение!$B$13:$L$113,11,FALSE),"-")</f>
        <v>0</v>
      </c>
      <c r="C138" s="291" t="str">
        <f>IFERROR(IF(VLOOKUP($B138,Расценка!$H$3:$I$9,2,FALSE)="НС",Расценка!$T$11,Расценка!$T$12),"-")</f>
        <v>-</v>
      </c>
      <c r="D138" s="291">
        <f>IFERROR(INDEX(Распределение!$1:$1048576,MATCH($A138,Распределение!$B:$B,0),MATCH($D$8,Распределение!$9:$9,0)),"---")</f>
        <v>0</v>
      </c>
      <c r="E138" s="292">
        <f>IFERROR(SUMIFS('Трудозатраты членов ВТК'!$G$17:$G$117,'Трудозатраты членов ВТК'!$D$17:$D$117,A:A),"-")</f>
        <v>0</v>
      </c>
      <c r="F138" s="293">
        <f>IFERROR(SUMIFS('Трудозатраты членов ВТК'!$F$464:$F$713,'Трудозатраты членов ВТК'!$D$464:$D$713,A:A),"-")</f>
        <v>0</v>
      </c>
      <c r="G138" s="302"/>
      <c r="H138" s="295">
        <f t="shared" si="21"/>
        <v>0</v>
      </c>
      <c r="I138" s="296">
        <f>IFERROR(ROUND(IF('Состав ВТК'!$K131=справочник!$A$5,IF(AND('Расчет участников НИР'!$A138='Состав ВТК'!$B131,$I$10='Состав ВТК'!$I131),$F138*$D138*VLOOKUP('Расчет участников НИР'!$B138,Расценка!$C$3:$E$13,3,FALSE),0),0),2),"-")</f>
        <v>0</v>
      </c>
      <c r="J138" s="296">
        <f>IFERROR(ROUND(IF('Состав ВТК'!$K131=справочник!$A$5,IF(AND('Расчет участников НИР'!$A138='Состав ВТК'!$B131,$J$10='Состав ВТК'!$I131),$F138*$D138*VLOOKUP('Расчет участников НИР'!$B138,Расценка!$C$3:$E$13,3,FALSE),0),0),2),"-")</f>
        <v>0</v>
      </c>
      <c r="K138" s="296">
        <f>IFERROR(ROUND(IF('Состав ВТК'!$K131=справочник!$A$5,IF(AND('Расчет участников НИР'!$A138='Состав ВТК'!$B131,$K$10='Состав ВТК'!$I131),$F138*$D138*VLOOKUP('Расчет участников НИР'!$B138,Расценка!$C$3:$E$13,3,FALSE),0),0),2),"-")</f>
        <v>0</v>
      </c>
      <c r="L138" s="297"/>
      <c r="M138" s="295">
        <f t="shared" si="22"/>
        <v>0</v>
      </c>
      <c r="N138" s="298">
        <f>IFERROR(ROUND(IF('Состав ВТК'!$K131=справочник!$A$5,(IF(AND($A138='Состав ВТК'!$B131,$N$10=$C138),$F138*$D138*VLOOKUP($B138,Расценка!$H$3:$K$9,4,FALSE),0)),0),2),"-")</f>
        <v>0</v>
      </c>
      <c r="O138" s="298">
        <f>IFERROR(ROUND(IF('Состав ВТК'!$K131=справочник!$A$5,(IF(AND($A138='Состав ВТК'!$B131,$O$10=$C138),$F138*$D138*VLOOKUP($B138,Расценка!$H$3:$K$9,4,FALSE),0)),0),2),"-")</f>
        <v>0</v>
      </c>
      <c r="P138" s="299">
        <f t="shared" si="23"/>
        <v>0</v>
      </c>
      <c r="Q138" s="300">
        <f t="shared" si="15"/>
        <v>0</v>
      </c>
      <c r="R138" s="300">
        <f t="shared" si="16"/>
        <v>0</v>
      </c>
      <c r="S138" s="295">
        <f t="shared" si="24"/>
        <v>0</v>
      </c>
      <c r="T138" s="298">
        <f>IFERROR(ROUND(IF(AND('Расчет участников НИР'!$A138='Состав ВТК'!$B131,'Расчет участников НИР'!$T$10='Состав ВТК'!$I131),$E138,0),2),"-")</f>
        <v>0</v>
      </c>
      <c r="U138" s="298">
        <f>IFERROR(ROUND(IF(AND('Расчет участников НИР'!$A138='Состав ВТК'!$B131,'Расчет участников НИР'!$U$10='Состав ВТК'!$I131),$E138,0),2),"-")</f>
        <v>0</v>
      </c>
      <c r="V138" s="298">
        <f>IFERROR(ROUND(IF(AND('Расчет участников НИР'!$A138='Состав ВТК'!$B131,'Расчет участников НИР'!$V$10='Состав ВТК'!$I131),$E138,0),2),"-")</f>
        <v>0</v>
      </c>
      <c r="W138" s="301" t="str">
        <f t="shared" si="25"/>
        <v>-</v>
      </c>
      <c r="X138" s="301" t="str">
        <f t="shared" si="26"/>
        <v>-</v>
      </c>
      <c r="Y138" s="301" t="str">
        <f t="shared" si="27"/>
        <v>-</v>
      </c>
    </row>
    <row r="139" spans="1:25" x14ac:dyDescent="0.25">
      <c r="A139" s="217">
        <f>'Состав ВТК'!B132</f>
        <v>0</v>
      </c>
      <c r="B139" s="290">
        <f>IFERROR(VLOOKUP($A139,Распределение!$B$13:$L$113,11,FALSE),"-")</f>
        <v>0</v>
      </c>
      <c r="C139" s="291" t="str">
        <f>IFERROR(IF(VLOOKUP($B139,Расценка!$H$3:$I$9,2,FALSE)="НС",Расценка!$T$11,Расценка!$T$12),"-")</f>
        <v>-</v>
      </c>
      <c r="D139" s="291">
        <f>IFERROR(INDEX(Распределение!$1:$1048576,MATCH($A139,Распределение!$B:$B,0),MATCH($D$8,Распределение!$9:$9,0)),"---")</f>
        <v>0</v>
      </c>
      <c r="E139" s="292">
        <f>IFERROR(SUMIFS('Трудозатраты членов ВТК'!$G$17:$G$117,'Трудозатраты членов ВТК'!$D$17:$D$117,A:A),"-")</f>
        <v>0</v>
      </c>
      <c r="F139" s="293">
        <f>IFERROR(SUMIFS('Трудозатраты членов ВТК'!$F$464:$F$713,'Трудозатраты членов ВТК'!$D$464:$D$713,A:A),"-")</f>
        <v>0</v>
      </c>
      <c r="G139" s="302"/>
      <c r="H139" s="295">
        <f t="shared" si="21"/>
        <v>0</v>
      </c>
      <c r="I139" s="296">
        <f>IFERROR(ROUND(IF('Состав ВТК'!$K132=справочник!$A$5,IF(AND('Расчет участников НИР'!$A139='Состав ВТК'!$B132,$I$10='Состав ВТК'!$I132),$F139*$D139*VLOOKUP('Расчет участников НИР'!$B139,Расценка!$C$3:$E$13,3,FALSE),0),0),2),"-")</f>
        <v>0</v>
      </c>
      <c r="J139" s="296">
        <f>IFERROR(ROUND(IF('Состав ВТК'!$K132=справочник!$A$5,IF(AND('Расчет участников НИР'!$A139='Состав ВТК'!$B132,$J$10='Состав ВТК'!$I132),$F139*$D139*VLOOKUP('Расчет участников НИР'!$B139,Расценка!$C$3:$E$13,3,FALSE),0),0),2),"-")</f>
        <v>0</v>
      </c>
      <c r="K139" s="296">
        <f>IFERROR(ROUND(IF('Состав ВТК'!$K132=справочник!$A$5,IF(AND('Расчет участников НИР'!$A139='Состав ВТК'!$B132,$K$10='Состав ВТК'!$I132),$F139*$D139*VLOOKUP('Расчет участников НИР'!$B139,Расценка!$C$3:$E$13,3,FALSE),0),0),2),"-")</f>
        <v>0</v>
      </c>
      <c r="L139" s="297"/>
      <c r="M139" s="295">
        <f t="shared" si="22"/>
        <v>0</v>
      </c>
      <c r="N139" s="298">
        <f>IFERROR(ROUND(IF('Состав ВТК'!$K132=справочник!$A$5,(IF(AND($A139='Состав ВТК'!$B132,$N$10=$C139),$F139*$D139*VLOOKUP($B139,Расценка!$H$3:$K$9,4,FALSE),0)),0),2),"-")</f>
        <v>0</v>
      </c>
      <c r="O139" s="298">
        <f>IFERROR(ROUND(IF('Состав ВТК'!$K132=справочник!$A$5,(IF(AND($A139='Состав ВТК'!$B132,$O$10=$C139),$F139*$D139*VLOOKUP($B139,Расценка!$H$3:$K$9,4,FALSE),0)),0),2),"-")</f>
        <v>0</v>
      </c>
      <c r="P139" s="299">
        <f t="shared" si="23"/>
        <v>0</v>
      </c>
      <c r="Q139" s="300">
        <f t="shared" si="15"/>
        <v>0</v>
      </c>
      <c r="R139" s="300">
        <f t="shared" si="16"/>
        <v>0</v>
      </c>
      <c r="S139" s="295">
        <f t="shared" si="24"/>
        <v>0</v>
      </c>
      <c r="T139" s="298">
        <f>IFERROR(ROUND(IF(AND('Расчет участников НИР'!$A139='Состав ВТК'!$B132,'Расчет участников НИР'!$T$10='Состав ВТК'!$I132),$E139,0),2),"-")</f>
        <v>0</v>
      </c>
      <c r="U139" s="298">
        <f>IFERROR(ROUND(IF(AND('Расчет участников НИР'!$A139='Состав ВТК'!$B132,'Расчет участников НИР'!$U$10='Состав ВТК'!$I132),$E139,0),2),"-")</f>
        <v>0</v>
      </c>
      <c r="V139" s="298">
        <f>IFERROR(ROUND(IF(AND('Расчет участников НИР'!$A139='Состав ВТК'!$B132,'Расчет участников НИР'!$V$10='Состав ВТК'!$I132),$E139,0),2),"-")</f>
        <v>0</v>
      </c>
      <c r="W139" s="301" t="str">
        <f t="shared" si="25"/>
        <v>-</v>
      </c>
      <c r="X139" s="301" t="str">
        <f t="shared" si="26"/>
        <v>-</v>
      </c>
      <c r="Y139" s="301" t="str">
        <f t="shared" si="27"/>
        <v>-</v>
      </c>
    </row>
    <row r="140" spans="1:25" x14ac:dyDescent="0.25">
      <c r="A140" s="217">
        <f>'Состав ВТК'!B133</f>
        <v>0</v>
      </c>
      <c r="B140" s="290">
        <f>IFERROR(VLOOKUP($A140,Распределение!$B$13:$L$113,11,FALSE),"-")</f>
        <v>0</v>
      </c>
      <c r="C140" s="291" t="str">
        <f>IFERROR(IF(VLOOKUP($B140,Расценка!$H$3:$I$9,2,FALSE)="НС",Расценка!$T$11,Расценка!$T$12),"-")</f>
        <v>-</v>
      </c>
      <c r="D140" s="291">
        <f>IFERROR(INDEX(Распределение!$1:$1048576,MATCH($A140,Распределение!$B:$B,0),MATCH($D$8,Распределение!$9:$9,0)),"---")</f>
        <v>0</v>
      </c>
      <c r="E140" s="292">
        <f>IFERROR(SUMIFS('Трудозатраты членов ВТК'!$G$17:$G$117,'Трудозатраты членов ВТК'!$D$17:$D$117,A:A),"-")</f>
        <v>0</v>
      </c>
      <c r="F140" s="293">
        <f>IFERROR(SUMIFS('Трудозатраты членов ВТК'!$F$464:$F$713,'Трудозатраты членов ВТК'!$D$464:$D$713,A:A),"-")</f>
        <v>0</v>
      </c>
      <c r="G140" s="302"/>
      <c r="H140" s="295">
        <f t="shared" si="21"/>
        <v>0</v>
      </c>
      <c r="I140" s="296">
        <f>IFERROR(ROUND(IF('Состав ВТК'!$K133=справочник!$A$5,IF(AND('Расчет участников НИР'!$A140='Состав ВТК'!$B133,$I$10='Состав ВТК'!$I133),$F140*$D140*VLOOKUP('Расчет участников НИР'!$B140,Расценка!$C$3:$E$13,3,FALSE),0),0),2),"-")</f>
        <v>0</v>
      </c>
      <c r="J140" s="296">
        <f>IFERROR(ROUND(IF('Состав ВТК'!$K133=справочник!$A$5,IF(AND('Расчет участников НИР'!$A140='Состав ВТК'!$B133,$J$10='Состав ВТК'!$I133),$F140*$D140*VLOOKUP('Расчет участников НИР'!$B140,Расценка!$C$3:$E$13,3,FALSE),0),0),2),"-")</f>
        <v>0</v>
      </c>
      <c r="K140" s="296">
        <f>IFERROR(ROUND(IF('Состав ВТК'!$K133=справочник!$A$5,IF(AND('Расчет участников НИР'!$A140='Состав ВТК'!$B133,$K$10='Состав ВТК'!$I133),$F140*$D140*VLOOKUP('Расчет участников НИР'!$B140,Расценка!$C$3:$E$13,3,FALSE),0),0),2),"-")</f>
        <v>0</v>
      </c>
      <c r="L140" s="297"/>
      <c r="M140" s="295">
        <f t="shared" si="22"/>
        <v>0</v>
      </c>
      <c r="N140" s="298">
        <f>IFERROR(ROUND(IF('Состав ВТК'!$K133=справочник!$A$5,(IF(AND($A140='Состав ВТК'!$B133,$N$10=$C140),$F140*$D140*VLOOKUP($B140,Расценка!$H$3:$K$9,4,FALSE),0)),0),2),"-")</f>
        <v>0</v>
      </c>
      <c r="O140" s="298">
        <f>IFERROR(ROUND(IF('Состав ВТК'!$K133=справочник!$A$5,(IF(AND($A140='Состав ВТК'!$B133,$O$10=$C140),$F140*$D140*VLOOKUP($B140,Расценка!$H$3:$K$9,4,FALSE),0)),0),2),"-")</f>
        <v>0</v>
      </c>
      <c r="P140" s="299">
        <f t="shared" si="23"/>
        <v>0</v>
      </c>
      <c r="Q140" s="300">
        <f t="shared" si="15"/>
        <v>0</v>
      </c>
      <c r="R140" s="300">
        <f t="shared" si="16"/>
        <v>0</v>
      </c>
      <c r="S140" s="295">
        <f t="shared" si="24"/>
        <v>0</v>
      </c>
      <c r="T140" s="298">
        <f>IFERROR(ROUND(IF(AND('Расчет участников НИР'!$A140='Состав ВТК'!$B133,'Расчет участников НИР'!$T$10='Состав ВТК'!$I133),$E140,0),2),"-")</f>
        <v>0</v>
      </c>
      <c r="U140" s="298">
        <f>IFERROR(ROUND(IF(AND('Расчет участников НИР'!$A140='Состав ВТК'!$B133,'Расчет участников НИР'!$U$10='Состав ВТК'!$I133),$E140,0),2),"-")</f>
        <v>0</v>
      </c>
      <c r="V140" s="298">
        <f>IFERROR(ROUND(IF(AND('Расчет участников НИР'!$A140='Состав ВТК'!$B133,'Расчет участников НИР'!$V$10='Состав ВТК'!$I133),$E140,0),2),"-")</f>
        <v>0</v>
      </c>
      <c r="W140" s="301" t="str">
        <f t="shared" si="25"/>
        <v>-</v>
      </c>
      <c r="X140" s="301" t="str">
        <f t="shared" si="26"/>
        <v>-</v>
      </c>
      <c r="Y140" s="301" t="str">
        <f t="shared" si="27"/>
        <v>-</v>
      </c>
    </row>
    <row r="141" spans="1:25" x14ac:dyDescent="0.25">
      <c r="A141" s="217">
        <f>'Состав ВТК'!B134</f>
        <v>0</v>
      </c>
      <c r="B141" s="290">
        <f>IFERROR(VLOOKUP($A141,Распределение!$B$13:$L$113,11,FALSE),"-")</f>
        <v>0</v>
      </c>
      <c r="C141" s="291" t="str">
        <f>IFERROR(IF(VLOOKUP($B141,Расценка!$H$3:$I$9,2,FALSE)="НС",Расценка!$T$11,Расценка!$T$12),"-")</f>
        <v>-</v>
      </c>
      <c r="D141" s="291">
        <f>IFERROR(INDEX(Распределение!$1:$1048576,MATCH($A141,Распределение!$B:$B,0),MATCH($D$8,Распределение!$9:$9,0)),"---")</f>
        <v>0</v>
      </c>
      <c r="E141" s="292">
        <f>IFERROR(SUMIFS('Трудозатраты членов ВТК'!$G$17:$G$117,'Трудозатраты членов ВТК'!$D$17:$D$117,A:A),"-")</f>
        <v>0</v>
      </c>
      <c r="F141" s="293">
        <f>IFERROR(SUMIFS('Трудозатраты членов ВТК'!$F$464:$F$713,'Трудозатраты членов ВТК'!$D$464:$D$713,A:A),"-")</f>
        <v>0</v>
      </c>
      <c r="G141" s="302"/>
      <c r="H141" s="295">
        <f t="shared" si="21"/>
        <v>0</v>
      </c>
      <c r="I141" s="296">
        <f>IFERROR(ROUND(IF('Состав ВТК'!$K134=справочник!$A$5,IF(AND('Расчет участников НИР'!$A141='Состав ВТК'!$B134,$I$10='Состав ВТК'!$I134),$F141*$D141*VLOOKUP('Расчет участников НИР'!$B141,Расценка!$C$3:$E$13,3,FALSE),0),0),2),"-")</f>
        <v>0</v>
      </c>
      <c r="J141" s="296">
        <f>IFERROR(ROUND(IF('Состав ВТК'!$K134=справочник!$A$5,IF(AND('Расчет участников НИР'!$A141='Состав ВТК'!$B134,$J$10='Состав ВТК'!$I134),$F141*$D141*VLOOKUP('Расчет участников НИР'!$B141,Расценка!$C$3:$E$13,3,FALSE),0),0),2),"-")</f>
        <v>0</v>
      </c>
      <c r="K141" s="296">
        <f>IFERROR(ROUND(IF('Состав ВТК'!$K134=справочник!$A$5,IF(AND('Расчет участников НИР'!$A141='Состав ВТК'!$B134,$K$10='Состав ВТК'!$I134),$F141*$D141*VLOOKUP('Расчет участников НИР'!$B141,Расценка!$C$3:$E$13,3,FALSE),0),0),2),"-")</f>
        <v>0</v>
      </c>
      <c r="L141" s="297"/>
      <c r="M141" s="295">
        <f t="shared" si="22"/>
        <v>0</v>
      </c>
      <c r="N141" s="298">
        <f>IFERROR(ROUND(IF('Состав ВТК'!$K134=справочник!$A$5,(IF(AND($A141='Состав ВТК'!$B134,$N$10=$C141),$F141*$D141*VLOOKUP($B141,Расценка!$H$3:$K$9,4,FALSE),0)),0),2),"-")</f>
        <v>0</v>
      </c>
      <c r="O141" s="298">
        <f>IFERROR(ROUND(IF('Состав ВТК'!$K134=справочник!$A$5,(IF(AND($A141='Состав ВТК'!$B134,$O$10=$C141),$F141*$D141*VLOOKUP($B141,Расценка!$H$3:$K$9,4,FALSE),0)),0),2),"-")</f>
        <v>0</v>
      </c>
      <c r="P141" s="299">
        <f t="shared" si="23"/>
        <v>0</v>
      </c>
      <c r="Q141" s="300">
        <f t="shared" si="15"/>
        <v>0</v>
      </c>
      <c r="R141" s="300">
        <f t="shared" si="16"/>
        <v>0</v>
      </c>
      <c r="S141" s="295">
        <f t="shared" si="24"/>
        <v>0</v>
      </c>
      <c r="T141" s="298">
        <f>IFERROR(ROUND(IF(AND('Расчет участников НИР'!$A141='Состав ВТК'!$B134,'Расчет участников НИР'!$T$10='Состав ВТК'!$I134),$E141,0),2),"-")</f>
        <v>0</v>
      </c>
      <c r="U141" s="298">
        <f>IFERROR(ROUND(IF(AND('Расчет участников НИР'!$A141='Состав ВТК'!$B134,'Расчет участников НИР'!$U$10='Состав ВТК'!$I134),$E141,0),2),"-")</f>
        <v>0</v>
      </c>
      <c r="V141" s="298">
        <f>IFERROR(ROUND(IF(AND('Расчет участников НИР'!$A141='Состав ВТК'!$B134,'Расчет участников НИР'!$V$10='Состав ВТК'!$I134),$E141,0),2),"-")</f>
        <v>0</v>
      </c>
      <c r="W141" s="301" t="str">
        <f t="shared" si="25"/>
        <v>-</v>
      </c>
      <c r="X141" s="301" t="str">
        <f t="shared" si="26"/>
        <v>-</v>
      </c>
      <c r="Y141" s="301" t="str">
        <f t="shared" si="27"/>
        <v>-</v>
      </c>
    </row>
    <row r="142" spans="1:25" x14ac:dyDescent="0.25">
      <c r="A142" s="217">
        <f>'Состав ВТК'!B135</f>
        <v>0</v>
      </c>
      <c r="B142" s="290">
        <f>IFERROR(VLOOKUP($A142,Распределение!$B$13:$L$113,11,FALSE),"-")</f>
        <v>0</v>
      </c>
      <c r="C142" s="291" t="str">
        <f>IFERROR(IF(VLOOKUP($B142,Расценка!$H$3:$I$9,2,FALSE)="НС",Расценка!$T$11,Расценка!$T$12),"-")</f>
        <v>-</v>
      </c>
      <c r="D142" s="291">
        <f>IFERROR(INDEX(Распределение!$1:$1048576,MATCH($A142,Распределение!$B:$B,0),MATCH($D$8,Распределение!$9:$9,0)),"---")</f>
        <v>0</v>
      </c>
      <c r="E142" s="292">
        <f>IFERROR(SUMIFS('Трудозатраты членов ВТК'!$G$17:$G$117,'Трудозатраты членов ВТК'!$D$17:$D$117,A:A),"-")</f>
        <v>0</v>
      </c>
      <c r="F142" s="293">
        <f>IFERROR(SUMIFS('Трудозатраты членов ВТК'!$F$464:$F$713,'Трудозатраты членов ВТК'!$D$464:$D$713,A:A),"-")</f>
        <v>0</v>
      </c>
      <c r="G142" s="302"/>
      <c r="H142" s="295">
        <f t="shared" si="21"/>
        <v>0</v>
      </c>
      <c r="I142" s="296">
        <f>IFERROR(ROUND(IF('Состав ВТК'!$K135=справочник!$A$5,IF(AND('Расчет участников НИР'!$A142='Состав ВТК'!$B135,$I$10='Состав ВТК'!$I135),$F142*$D142*VLOOKUP('Расчет участников НИР'!$B142,Расценка!$C$3:$E$13,3,FALSE),0),0),2),"-")</f>
        <v>0</v>
      </c>
      <c r="J142" s="296">
        <f>IFERROR(ROUND(IF('Состав ВТК'!$K135=справочник!$A$5,IF(AND('Расчет участников НИР'!$A142='Состав ВТК'!$B135,$J$10='Состав ВТК'!$I135),$F142*$D142*VLOOKUP('Расчет участников НИР'!$B142,Расценка!$C$3:$E$13,3,FALSE),0),0),2),"-")</f>
        <v>0</v>
      </c>
      <c r="K142" s="296">
        <f>IFERROR(ROUND(IF('Состав ВТК'!$K135=справочник!$A$5,IF(AND('Расчет участников НИР'!$A142='Состав ВТК'!$B135,$K$10='Состав ВТК'!$I135),$F142*$D142*VLOOKUP('Расчет участников НИР'!$B142,Расценка!$C$3:$E$13,3,FALSE),0),0),2),"-")</f>
        <v>0</v>
      </c>
      <c r="L142" s="297"/>
      <c r="M142" s="295">
        <f t="shared" si="22"/>
        <v>0</v>
      </c>
      <c r="N142" s="298">
        <f>IFERROR(ROUND(IF('Состав ВТК'!$K135=справочник!$A$5,(IF(AND($A142='Состав ВТК'!$B135,$N$10=$C142),$F142*$D142*VLOOKUP($B142,Расценка!$H$3:$K$9,4,FALSE),0)),0),2),"-")</f>
        <v>0</v>
      </c>
      <c r="O142" s="298">
        <f>IFERROR(ROUND(IF('Состав ВТК'!$K135=справочник!$A$5,(IF(AND($A142='Состав ВТК'!$B135,$O$10=$C142),$F142*$D142*VLOOKUP($B142,Расценка!$H$3:$K$9,4,FALSE),0)),0),2),"-")</f>
        <v>0</v>
      </c>
      <c r="P142" s="299">
        <f t="shared" si="23"/>
        <v>0</v>
      </c>
      <c r="Q142" s="300">
        <f t="shared" si="15"/>
        <v>0</v>
      </c>
      <c r="R142" s="300">
        <f t="shared" si="16"/>
        <v>0</v>
      </c>
      <c r="S142" s="295">
        <f t="shared" si="24"/>
        <v>0</v>
      </c>
      <c r="T142" s="298">
        <f>IFERROR(ROUND(IF(AND('Расчет участников НИР'!$A142='Состав ВТК'!$B135,'Расчет участников НИР'!$T$10='Состав ВТК'!$I135),$E142,0),2),"-")</f>
        <v>0</v>
      </c>
      <c r="U142" s="298">
        <f>IFERROR(ROUND(IF(AND('Расчет участников НИР'!$A142='Состав ВТК'!$B135,'Расчет участников НИР'!$U$10='Состав ВТК'!$I135),$E142,0),2),"-")</f>
        <v>0</v>
      </c>
      <c r="V142" s="298">
        <f>IFERROR(ROUND(IF(AND('Расчет участников НИР'!$A142='Состав ВТК'!$B135,'Расчет участников НИР'!$V$10='Состав ВТК'!$I135),$E142,0),2),"-")</f>
        <v>0</v>
      </c>
      <c r="W142" s="301" t="str">
        <f t="shared" si="25"/>
        <v>-</v>
      </c>
      <c r="X142" s="301" t="str">
        <f t="shared" si="26"/>
        <v>-</v>
      </c>
      <c r="Y142" s="301" t="str">
        <f t="shared" si="27"/>
        <v>-</v>
      </c>
    </row>
    <row r="143" spans="1:25" x14ac:dyDescent="0.25">
      <c r="A143" s="217">
        <f>'Состав ВТК'!B136</f>
        <v>0</v>
      </c>
      <c r="B143" s="290">
        <f>IFERROR(VLOOKUP($A143,Распределение!$B$13:$L$113,11,FALSE),"-")</f>
        <v>0</v>
      </c>
      <c r="C143" s="291" t="str">
        <f>IFERROR(IF(VLOOKUP($B143,Расценка!$H$3:$I$9,2,FALSE)="НС",Расценка!$T$11,Расценка!$T$12),"-")</f>
        <v>-</v>
      </c>
      <c r="D143" s="291">
        <f>IFERROR(INDEX(Распределение!$1:$1048576,MATCH($A143,Распределение!$B:$B,0),MATCH($D$8,Распределение!$9:$9,0)),"---")</f>
        <v>0</v>
      </c>
      <c r="E143" s="292">
        <f>IFERROR(SUMIFS('Трудозатраты членов ВТК'!$G$17:$G$117,'Трудозатраты членов ВТК'!$D$17:$D$117,A:A),"-")</f>
        <v>0</v>
      </c>
      <c r="F143" s="293">
        <f>IFERROR(SUMIFS('Трудозатраты членов ВТК'!$F$464:$F$713,'Трудозатраты членов ВТК'!$D$464:$D$713,A:A),"-")</f>
        <v>0</v>
      </c>
      <c r="G143" s="302"/>
      <c r="H143" s="295">
        <f t="shared" si="21"/>
        <v>0</v>
      </c>
      <c r="I143" s="296">
        <f>IFERROR(ROUND(IF('Состав ВТК'!$K136=справочник!$A$5,IF(AND('Расчет участников НИР'!$A143='Состав ВТК'!$B136,$I$10='Состав ВТК'!$I136),$F143*$D143*VLOOKUP('Расчет участников НИР'!$B143,Расценка!$C$3:$E$13,3,FALSE),0),0),2),"-")</f>
        <v>0</v>
      </c>
      <c r="J143" s="296">
        <f>IFERROR(ROUND(IF('Состав ВТК'!$K136=справочник!$A$5,IF(AND('Расчет участников НИР'!$A143='Состав ВТК'!$B136,$J$10='Состав ВТК'!$I136),$F143*$D143*VLOOKUP('Расчет участников НИР'!$B143,Расценка!$C$3:$E$13,3,FALSE),0),0),2),"-")</f>
        <v>0</v>
      </c>
      <c r="K143" s="296">
        <f>IFERROR(ROUND(IF('Состав ВТК'!$K136=справочник!$A$5,IF(AND('Расчет участников НИР'!$A143='Состав ВТК'!$B136,$K$10='Состав ВТК'!$I136),$F143*$D143*VLOOKUP('Расчет участников НИР'!$B143,Расценка!$C$3:$E$13,3,FALSE),0),0),2),"-")</f>
        <v>0</v>
      </c>
      <c r="L143" s="297"/>
      <c r="M143" s="295">
        <f t="shared" si="22"/>
        <v>0</v>
      </c>
      <c r="N143" s="298">
        <f>IFERROR(ROUND(IF('Состав ВТК'!$K136=справочник!$A$5,(IF(AND($A143='Состав ВТК'!$B136,$N$10=$C143),$F143*$D143*VLOOKUP($B143,Расценка!$H$3:$K$9,4,FALSE),0)),0),2),"-")</f>
        <v>0</v>
      </c>
      <c r="O143" s="298">
        <f>IFERROR(ROUND(IF('Состав ВТК'!$K136=справочник!$A$5,(IF(AND($A143='Состав ВТК'!$B136,$O$10=$C143),$F143*$D143*VLOOKUP($B143,Расценка!$H$3:$K$9,4,FALSE),0)),0),2),"-")</f>
        <v>0</v>
      </c>
      <c r="P143" s="299">
        <f t="shared" si="23"/>
        <v>0</v>
      </c>
      <c r="Q143" s="300">
        <f t="shared" si="15"/>
        <v>0</v>
      </c>
      <c r="R143" s="300">
        <f t="shared" si="16"/>
        <v>0</v>
      </c>
      <c r="S143" s="295">
        <f t="shared" si="24"/>
        <v>0</v>
      </c>
      <c r="T143" s="298">
        <f>IFERROR(ROUND(IF(AND('Расчет участников НИР'!$A143='Состав ВТК'!$B136,'Расчет участников НИР'!$T$10='Состав ВТК'!$I136),$E143,0),2),"-")</f>
        <v>0</v>
      </c>
      <c r="U143" s="298">
        <f>IFERROR(ROUND(IF(AND('Расчет участников НИР'!$A143='Состав ВТК'!$B136,'Расчет участников НИР'!$U$10='Состав ВТК'!$I136),$E143,0),2),"-")</f>
        <v>0</v>
      </c>
      <c r="V143" s="298">
        <f>IFERROR(ROUND(IF(AND('Расчет участников НИР'!$A143='Состав ВТК'!$B136,'Расчет участников НИР'!$V$10='Состав ВТК'!$I136),$E143,0),2),"-")</f>
        <v>0</v>
      </c>
      <c r="W143" s="301" t="str">
        <f t="shared" si="25"/>
        <v>-</v>
      </c>
      <c r="X143" s="301" t="str">
        <f t="shared" si="26"/>
        <v>-</v>
      </c>
      <c r="Y143" s="301" t="str">
        <f t="shared" si="27"/>
        <v>-</v>
      </c>
    </row>
    <row r="144" spans="1:25" x14ac:dyDescent="0.25">
      <c r="A144" s="217">
        <f>'Состав ВТК'!B137</f>
        <v>0</v>
      </c>
      <c r="B144" s="290">
        <f>IFERROR(VLOOKUP($A144,Распределение!$B$13:$L$113,11,FALSE),"-")</f>
        <v>0</v>
      </c>
      <c r="C144" s="291" t="str">
        <f>IFERROR(IF(VLOOKUP($B144,Расценка!$H$3:$I$9,2,FALSE)="НС",Расценка!$T$11,Расценка!$T$12),"-")</f>
        <v>-</v>
      </c>
      <c r="D144" s="291">
        <f>IFERROR(INDEX(Распределение!$1:$1048576,MATCH($A144,Распределение!$B:$B,0),MATCH($D$8,Распределение!$9:$9,0)),"---")</f>
        <v>0</v>
      </c>
      <c r="E144" s="292">
        <f>IFERROR(SUMIFS('Трудозатраты членов ВТК'!$G$17:$G$117,'Трудозатраты членов ВТК'!$D$17:$D$117,A:A),"-")</f>
        <v>0</v>
      </c>
      <c r="F144" s="293">
        <f>IFERROR(SUMIFS('Трудозатраты членов ВТК'!$F$464:$F$713,'Трудозатраты членов ВТК'!$D$464:$D$713,A:A),"-")</f>
        <v>0</v>
      </c>
      <c r="G144" s="302"/>
      <c r="H144" s="295">
        <f t="shared" si="21"/>
        <v>0</v>
      </c>
      <c r="I144" s="296">
        <f>IFERROR(ROUND(IF('Состав ВТК'!$K137=справочник!$A$5,IF(AND('Расчет участников НИР'!$A144='Состав ВТК'!$B137,$I$10='Состав ВТК'!$I137),$F144*$D144*VLOOKUP('Расчет участников НИР'!$B144,Расценка!$C$3:$E$13,3,FALSE),0),0),2),"-")</f>
        <v>0</v>
      </c>
      <c r="J144" s="296">
        <f>IFERROR(ROUND(IF('Состав ВТК'!$K137=справочник!$A$5,IF(AND('Расчет участников НИР'!$A144='Состав ВТК'!$B137,$J$10='Состав ВТК'!$I137),$F144*$D144*VLOOKUP('Расчет участников НИР'!$B144,Расценка!$C$3:$E$13,3,FALSE),0),0),2),"-")</f>
        <v>0</v>
      </c>
      <c r="K144" s="296">
        <f>IFERROR(ROUND(IF('Состав ВТК'!$K137=справочник!$A$5,IF(AND('Расчет участников НИР'!$A144='Состав ВТК'!$B137,$K$10='Состав ВТК'!$I137),$F144*$D144*VLOOKUP('Расчет участников НИР'!$B144,Расценка!$C$3:$E$13,3,FALSE),0),0),2),"-")</f>
        <v>0</v>
      </c>
      <c r="L144" s="297"/>
      <c r="M144" s="295">
        <f t="shared" si="22"/>
        <v>0</v>
      </c>
      <c r="N144" s="298">
        <f>IFERROR(ROUND(IF('Состав ВТК'!$K137=справочник!$A$5,(IF(AND($A144='Состав ВТК'!$B137,$N$10=$C144),$F144*$D144*VLOOKUP($B144,Расценка!$H$3:$K$9,4,FALSE),0)),0),2),"-")</f>
        <v>0</v>
      </c>
      <c r="O144" s="298">
        <f>IFERROR(ROUND(IF('Состав ВТК'!$K137=справочник!$A$5,(IF(AND($A144='Состав ВТК'!$B137,$O$10=$C144),$F144*$D144*VLOOKUP($B144,Расценка!$H$3:$K$9,4,FALSE),0)),0),2),"-")</f>
        <v>0</v>
      </c>
      <c r="P144" s="299">
        <f t="shared" si="23"/>
        <v>0</v>
      </c>
      <c r="Q144" s="300">
        <f t="shared" si="15"/>
        <v>0</v>
      </c>
      <c r="R144" s="300">
        <f t="shared" si="16"/>
        <v>0</v>
      </c>
      <c r="S144" s="295">
        <f t="shared" si="24"/>
        <v>0</v>
      </c>
      <c r="T144" s="298">
        <f>IFERROR(ROUND(IF(AND('Расчет участников НИР'!$A144='Состав ВТК'!$B137,'Расчет участников НИР'!$T$10='Состав ВТК'!$I137),$E144,0),2),"-")</f>
        <v>0</v>
      </c>
      <c r="U144" s="298">
        <f>IFERROR(ROUND(IF(AND('Расчет участников НИР'!$A144='Состав ВТК'!$B137,'Расчет участников НИР'!$U$10='Состав ВТК'!$I137),$E144,0),2),"-")</f>
        <v>0</v>
      </c>
      <c r="V144" s="298">
        <f>IFERROR(ROUND(IF(AND('Расчет участников НИР'!$A144='Состав ВТК'!$B137,'Расчет участников НИР'!$V$10='Состав ВТК'!$I137),$E144,0),2),"-")</f>
        <v>0</v>
      </c>
      <c r="W144" s="301" t="str">
        <f t="shared" si="25"/>
        <v>-</v>
      </c>
      <c r="X144" s="301" t="str">
        <f t="shared" si="26"/>
        <v>-</v>
      </c>
      <c r="Y144" s="301" t="str">
        <f t="shared" si="27"/>
        <v>-</v>
      </c>
    </row>
    <row r="145" spans="1:25" x14ac:dyDescent="0.25">
      <c r="A145" s="217">
        <f>'Состав ВТК'!B138</f>
        <v>0</v>
      </c>
      <c r="B145" s="290">
        <f>IFERROR(VLOOKUP($A145,Распределение!$B$13:$L$113,11,FALSE),"-")</f>
        <v>0</v>
      </c>
      <c r="C145" s="291" t="str">
        <f>IFERROR(IF(VLOOKUP($B145,Расценка!$H$3:$I$9,2,FALSE)="НС",Расценка!$T$11,Расценка!$T$12),"-")</f>
        <v>-</v>
      </c>
      <c r="D145" s="291">
        <f>IFERROR(INDEX(Распределение!$1:$1048576,MATCH($A145,Распределение!$B:$B,0),MATCH($D$8,Распределение!$9:$9,0)),"---")</f>
        <v>0</v>
      </c>
      <c r="E145" s="292">
        <f>IFERROR(SUMIFS('Трудозатраты членов ВТК'!$G$17:$G$117,'Трудозатраты членов ВТК'!$D$17:$D$117,A:A),"-")</f>
        <v>0</v>
      </c>
      <c r="F145" s="293">
        <f>IFERROR(SUMIFS('Трудозатраты членов ВТК'!$F$464:$F$713,'Трудозатраты членов ВТК'!$D$464:$D$713,A:A),"-")</f>
        <v>0</v>
      </c>
      <c r="G145" s="302"/>
      <c r="H145" s="295">
        <f t="shared" si="21"/>
        <v>0</v>
      </c>
      <c r="I145" s="296">
        <f>IFERROR(ROUND(IF('Состав ВТК'!$K138=справочник!$A$5,IF(AND('Расчет участников НИР'!$A145='Состав ВТК'!$B138,$I$10='Состав ВТК'!$I138),$F145*$D145*VLOOKUP('Расчет участников НИР'!$B145,Расценка!$C$3:$E$13,3,FALSE),0),0),2),"-")</f>
        <v>0</v>
      </c>
      <c r="J145" s="296">
        <f>IFERROR(ROUND(IF('Состав ВТК'!$K138=справочник!$A$5,IF(AND('Расчет участников НИР'!$A145='Состав ВТК'!$B138,$J$10='Состав ВТК'!$I138),$F145*$D145*VLOOKUP('Расчет участников НИР'!$B145,Расценка!$C$3:$E$13,3,FALSE),0),0),2),"-")</f>
        <v>0</v>
      </c>
      <c r="K145" s="296">
        <f>IFERROR(ROUND(IF('Состав ВТК'!$K138=справочник!$A$5,IF(AND('Расчет участников НИР'!$A145='Состав ВТК'!$B138,$K$10='Состав ВТК'!$I138),$F145*$D145*VLOOKUP('Расчет участников НИР'!$B145,Расценка!$C$3:$E$13,3,FALSE),0),0),2),"-")</f>
        <v>0</v>
      </c>
      <c r="L145" s="297"/>
      <c r="M145" s="295">
        <f t="shared" si="22"/>
        <v>0</v>
      </c>
      <c r="N145" s="298">
        <f>IFERROR(ROUND(IF('Состав ВТК'!$K138=справочник!$A$5,(IF(AND($A145='Состав ВТК'!$B138,$N$10=$C145),$F145*$D145*VLOOKUP($B145,Расценка!$H$3:$K$9,4,FALSE),0)),0),2),"-")</f>
        <v>0</v>
      </c>
      <c r="O145" s="298">
        <f>IFERROR(ROUND(IF('Состав ВТК'!$K138=справочник!$A$5,(IF(AND($A145='Состав ВТК'!$B138,$O$10=$C145),$F145*$D145*VLOOKUP($B145,Расценка!$H$3:$K$9,4,FALSE),0)),0),2),"-")</f>
        <v>0</v>
      </c>
      <c r="P145" s="299">
        <f t="shared" si="23"/>
        <v>0</v>
      </c>
      <c r="Q145" s="300">
        <f t="shared" ref="Q145:Q208" si="28">ROUND($P145*$Q$13,2)</f>
        <v>0</v>
      </c>
      <c r="R145" s="300">
        <f t="shared" ref="R145:R208" si="29">ROUND($P145*$R$13,2)</f>
        <v>0</v>
      </c>
      <c r="S145" s="295">
        <f t="shared" si="24"/>
        <v>0</v>
      </c>
      <c r="T145" s="298">
        <f>IFERROR(ROUND(IF(AND('Расчет участников НИР'!$A145='Состав ВТК'!$B138,'Расчет участников НИР'!$T$10='Состав ВТК'!$I138),$E145,0),2),"-")</f>
        <v>0</v>
      </c>
      <c r="U145" s="298">
        <f>IFERROR(ROUND(IF(AND('Расчет участников НИР'!$A145='Состав ВТК'!$B138,'Расчет участников НИР'!$U$10='Состав ВТК'!$I138),$E145,0),2),"-")</f>
        <v>0</v>
      </c>
      <c r="V145" s="298">
        <f>IFERROR(ROUND(IF(AND('Расчет участников НИР'!$A145='Состав ВТК'!$B138,'Расчет участников НИР'!$V$10='Состав ВТК'!$I138),$E145,0),2),"-")</f>
        <v>0</v>
      </c>
      <c r="W145" s="301" t="str">
        <f t="shared" si="25"/>
        <v>-</v>
      </c>
      <c r="X145" s="301" t="str">
        <f t="shared" si="26"/>
        <v>-</v>
      </c>
      <c r="Y145" s="301" t="str">
        <f t="shared" si="27"/>
        <v>-</v>
      </c>
    </row>
    <row r="146" spans="1:25" x14ac:dyDescent="0.25">
      <c r="A146" s="217">
        <f>'Состав ВТК'!B139</f>
        <v>0</v>
      </c>
      <c r="B146" s="290">
        <f>IFERROR(VLOOKUP($A146,Распределение!$B$13:$L$113,11,FALSE),"-")</f>
        <v>0</v>
      </c>
      <c r="C146" s="291" t="str">
        <f>IFERROR(IF(VLOOKUP($B146,Расценка!$H$3:$I$9,2,FALSE)="НС",Расценка!$T$11,Расценка!$T$12),"-")</f>
        <v>-</v>
      </c>
      <c r="D146" s="291">
        <f>IFERROR(INDEX(Распределение!$1:$1048576,MATCH($A146,Распределение!$B:$B,0),MATCH($D$8,Распределение!$9:$9,0)),"---")</f>
        <v>0</v>
      </c>
      <c r="E146" s="292">
        <f>IFERROR(SUMIFS('Трудозатраты членов ВТК'!$G$17:$G$117,'Трудозатраты членов ВТК'!$D$17:$D$117,A:A),"-")</f>
        <v>0</v>
      </c>
      <c r="F146" s="293">
        <f>IFERROR(SUMIFS('Трудозатраты членов ВТК'!$F$464:$F$713,'Трудозатраты членов ВТК'!$D$464:$D$713,A:A),"-")</f>
        <v>0</v>
      </c>
      <c r="G146" s="302"/>
      <c r="H146" s="295">
        <f t="shared" si="21"/>
        <v>0</v>
      </c>
      <c r="I146" s="296">
        <f>IFERROR(ROUND(IF('Состав ВТК'!$K139=справочник!$A$5,IF(AND('Расчет участников НИР'!$A146='Состав ВТК'!$B139,$I$10='Состав ВТК'!$I139),$F146*$D146*VLOOKUP('Расчет участников НИР'!$B146,Расценка!$C$3:$E$13,3,FALSE),0),0),2),"-")</f>
        <v>0</v>
      </c>
      <c r="J146" s="296">
        <f>IFERROR(ROUND(IF('Состав ВТК'!$K139=справочник!$A$5,IF(AND('Расчет участников НИР'!$A146='Состав ВТК'!$B139,$J$10='Состав ВТК'!$I139),$F146*$D146*VLOOKUP('Расчет участников НИР'!$B146,Расценка!$C$3:$E$13,3,FALSE),0),0),2),"-")</f>
        <v>0</v>
      </c>
      <c r="K146" s="296">
        <f>IFERROR(ROUND(IF('Состав ВТК'!$K139=справочник!$A$5,IF(AND('Расчет участников НИР'!$A146='Состав ВТК'!$B139,$K$10='Состав ВТК'!$I139),$F146*$D146*VLOOKUP('Расчет участников НИР'!$B146,Расценка!$C$3:$E$13,3,FALSE),0),0),2),"-")</f>
        <v>0</v>
      </c>
      <c r="L146" s="297"/>
      <c r="M146" s="295">
        <f t="shared" si="22"/>
        <v>0</v>
      </c>
      <c r="N146" s="298">
        <f>IFERROR(ROUND(IF('Состав ВТК'!$K139=справочник!$A$5,(IF(AND($A146='Состав ВТК'!$B139,$N$10=$C146),$F146*$D146*VLOOKUP($B146,Расценка!$H$3:$K$9,4,FALSE),0)),0),2),"-")</f>
        <v>0</v>
      </c>
      <c r="O146" s="298">
        <f>IFERROR(ROUND(IF('Состав ВТК'!$K139=справочник!$A$5,(IF(AND($A146='Состав ВТК'!$B139,$O$10=$C146),$F146*$D146*VLOOKUP($B146,Расценка!$H$3:$K$9,4,FALSE),0)),0),2),"-")</f>
        <v>0</v>
      </c>
      <c r="P146" s="299">
        <f t="shared" si="23"/>
        <v>0</v>
      </c>
      <c r="Q146" s="300">
        <f t="shared" si="28"/>
        <v>0</v>
      </c>
      <c r="R146" s="300">
        <f t="shared" si="29"/>
        <v>0</v>
      </c>
      <c r="S146" s="295">
        <f t="shared" si="24"/>
        <v>0</v>
      </c>
      <c r="T146" s="298">
        <f>IFERROR(ROUND(IF(AND('Расчет участников НИР'!$A146='Состав ВТК'!$B139,'Расчет участников НИР'!$T$10='Состав ВТК'!$I139),$E146,0),2),"-")</f>
        <v>0</v>
      </c>
      <c r="U146" s="298">
        <f>IFERROR(ROUND(IF(AND('Расчет участников НИР'!$A146='Состав ВТК'!$B139,'Расчет участников НИР'!$U$10='Состав ВТК'!$I139),$E146,0),2),"-")</f>
        <v>0</v>
      </c>
      <c r="V146" s="298">
        <f>IFERROR(ROUND(IF(AND('Расчет участников НИР'!$A146='Состав ВТК'!$B139,'Расчет участников НИР'!$V$10='Состав ВТК'!$I139),$E146,0),2),"-")</f>
        <v>0</v>
      </c>
      <c r="W146" s="301" t="str">
        <f t="shared" si="25"/>
        <v>-</v>
      </c>
      <c r="X146" s="301" t="str">
        <f t="shared" si="26"/>
        <v>-</v>
      </c>
      <c r="Y146" s="301" t="str">
        <f t="shared" si="27"/>
        <v>-</v>
      </c>
    </row>
    <row r="147" spans="1:25" x14ac:dyDescent="0.25">
      <c r="A147" s="217">
        <f>'Состав ВТК'!B140</f>
        <v>0</v>
      </c>
      <c r="B147" s="290">
        <f>IFERROR(VLOOKUP($A147,Распределение!$B$13:$L$113,11,FALSE),"-")</f>
        <v>0</v>
      </c>
      <c r="C147" s="291" t="str">
        <f>IFERROR(IF(VLOOKUP($B147,Расценка!$H$3:$I$9,2,FALSE)="НС",Расценка!$T$11,Расценка!$T$12),"-")</f>
        <v>-</v>
      </c>
      <c r="D147" s="291">
        <f>IFERROR(INDEX(Распределение!$1:$1048576,MATCH($A147,Распределение!$B:$B,0),MATCH($D$8,Распределение!$9:$9,0)),"---")</f>
        <v>0</v>
      </c>
      <c r="E147" s="292">
        <f>IFERROR(SUMIFS('Трудозатраты членов ВТК'!$G$17:$G$117,'Трудозатраты членов ВТК'!$D$17:$D$117,A:A),"-")</f>
        <v>0</v>
      </c>
      <c r="F147" s="293">
        <f>IFERROR(SUMIFS('Трудозатраты членов ВТК'!$F$464:$F$713,'Трудозатраты членов ВТК'!$D$464:$D$713,A:A),"-")</f>
        <v>0</v>
      </c>
      <c r="G147" s="302"/>
      <c r="H147" s="295">
        <f t="shared" si="21"/>
        <v>0</v>
      </c>
      <c r="I147" s="296">
        <f>IFERROR(ROUND(IF('Состав ВТК'!$K140=справочник!$A$5,IF(AND('Расчет участников НИР'!$A147='Состав ВТК'!$B140,$I$10='Состав ВТК'!$I140),$F147*$D147*VLOOKUP('Расчет участников НИР'!$B147,Расценка!$C$3:$E$13,3,FALSE),0),0),2),"-")</f>
        <v>0</v>
      </c>
      <c r="J147" s="296">
        <f>IFERROR(ROUND(IF('Состав ВТК'!$K140=справочник!$A$5,IF(AND('Расчет участников НИР'!$A147='Состав ВТК'!$B140,$J$10='Состав ВТК'!$I140),$F147*$D147*VLOOKUP('Расчет участников НИР'!$B147,Расценка!$C$3:$E$13,3,FALSE),0),0),2),"-")</f>
        <v>0</v>
      </c>
      <c r="K147" s="296">
        <f>IFERROR(ROUND(IF('Состав ВТК'!$K140=справочник!$A$5,IF(AND('Расчет участников НИР'!$A147='Состав ВТК'!$B140,$K$10='Состав ВТК'!$I140),$F147*$D147*VLOOKUP('Расчет участников НИР'!$B147,Расценка!$C$3:$E$13,3,FALSE),0),0),2),"-")</f>
        <v>0</v>
      </c>
      <c r="L147" s="297"/>
      <c r="M147" s="295">
        <f t="shared" si="22"/>
        <v>0</v>
      </c>
      <c r="N147" s="298">
        <f>IFERROR(ROUND(IF('Состав ВТК'!$K140=справочник!$A$5,(IF(AND($A147='Состав ВТК'!$B140,$N$10=$C147),$F147*$D147*VLOOKUP($B147,Расценка!$H$3:$K$9,4,FALSE),0)),0),2),"-")</f>
        <v>0</v>
      </c>
      <c r="O147" s="298">
        <f>IFERROR(ROUND(IF('Состав ВТК'!$K140=справочник!$A$5,(IF(AND($A147='Состав ВТК'!$B140,$O$10=$C147),$F147*$D147*VLOOKUP($B147,Расценка!$H$3:$K$9,4,FALSE),0)),0),2),"-")</f>
        <v>0</v>
      </c>
      <c r="P147" s="299">
        <f t="shared" si="23"/>
        <v>0</v>
      </c>
      <c r="Q147" s="300">
        <f t="shared" si="28"/>
        <v>0</v>
      </c>
      <c r="R147" s="300">
        <f t="shared" si="29"/>
        <v>0</v>
      </c>
      <c r="S147" s="295">
        <f t="shared" si="24"/>
        <v>0</v>
      </c>
      <c r="T147" s="298">
        <f>IFERROR(ROUND(IF(AND('Расчет участников НИР'!$A147='Состав ВТК'!$B140,'Расчет участников НИР'!$T$10='Состав ВТК'!$I140),$E147,0),2),"-")</f>
        <v>0</v>
      </c>
      <c r="U147" s="298">
        <f>IFERROR(ROUND(IF(AND('Расчет участников НИР'!$A147='Состав ВТК'!$B140,'Расчет участников НИР'!$U$10='Состав ВТК'!$I140),$E147,0),2),"-")</f>
        <v>0</v>
      </c>
      <c r="V147" s="298">
        <f>IFERROR(ROUND(IF(AND('Расчет участников НИР'!$A147='Состав ВТК'!$B140,'Расчет участников НИР'!$V$10='Состав ВТК'!$I140),$E147,0),2),"-")</f>
        <v>0</v>
      </c>
      <c r="W147" s="301" t="str">
        <f t="shared" si="25"/>
        <v>-</v>
      </c>
      <c r="X147" s="301" t="str">
        <f t="shared" si="26"/>
        <v>-</v>
      </c>
      <c r="Y147" s="301" t="str">
        <f t="shared" si="27"/>
        <v>-</v>
      </c>
    </row>
    <row r="148" spans="1:25" x14ac:dyDescent="0.25">
      <c r="A148" s="217">
        <f>'Состав ВТК'!B141</f>
        <v>0</v>
      </c>
      <c r="B148" s="290">
        <f>IFERROR(VLOOKUP($A148,Распределение!$B$13:$L$113,11,FALSE),"-")</f>
        <v>0</v>
      </c>
      <c r="C148" s="291" t="str">
        <f>IFERROR(IF(VLOOKUP($B148,Расценка!$H$3:$I$9,2,FALSE)="НС",Расценка!$T$11,Расценка!$T$12),"-")</f>
        <v>-</v>
      </c>
      <c r="D148" s="291">
        <f>IFERROR(INDEX(Распределение!$1:$1048576,MATCH($A148,Распределение!$B:$B,0),MATCH($D$8,Распределение!$9:$9,0)),"---")</f>
        <v>0</v>
      </c>
      <c r="E148" s="292">
        <f>IFERROR(SUMIFS('Трудозатраты членов ВТК'!$G$17:$G$117,'Трудозатраты членов ВТК'!$D$17:$D$117,A:A),"-")</f>
        <v>0</v>
      </c>
      <c r="F148" s="293">
        <f>IFERROR(SUMIFS('Трудозатраты членов ВТК'!$F$464:$F$713,'Трудозатраты членов ВТК'!$D$464:$D$713,A:A),"-")</f>
        <v>0</v>
      </c>
      <c r="G148" s="302"/>
      <c r="H148" s="295">
        <f t="shared" si="21"/>
        <v>0</v>
      </c>
      <c r="I148" s="296">
        <f>IFERROR(ROUND(IF('Состав ВТК'!$K141=справочник!$A$5,IF(AND('Расчет участников НИР'!$A148='Состав ВТК'!$B141,$I$10='Состав ВТК'!$I141),$F148*$D148*VLOOKUP('Расчет участников НИР'!$B148,Расценка!$C$3:$E$13,3,FALSE),0),0),2),"-")</f>
        <v>0</v>
      </c>
      <c r="J148" s="296">
        <f>IFERROR(ROUND(IF('Состав ВТК'!$K141=справочник!$A$5,IF(AND('Расчет участников НИР'!$A148='Состав ВТК'!$B141,$J$10='Состав ВТК'!$I141),$F148*$D148*VLOOKUP('Расчет участников НИР'!$B148,Расценка!$C$3:$E$13,3,FALSE),0),0),2),"-")</f>
        <v>0</v>
      </c>
      <c r="K148" s="296">
        <f>IFERROR(ROUND(IF('Состав ВТК'!$K141=справочник!$A$5,IF(AND('Расчет участников НИР'!$A148='Состав ВТК'!$B141,$K$10='Состав ВТК'!$I141),$F148*$D148*VLOOKUP('Расчет участников НИР'!$B148,Расценка!$C$3:$E$13,3,FALSE),0),0),2),"-")</f>
        <v>0</v>
      </c>
      <c r="L148" s="297"/>
      <c r="M148" s="295">
        <f t="shared" si="22"/>
        <v>0</v>
      </c>
      <c r="N148" s="298">
        <f>IFERROR(ROUND(IF('Состав ВТК'!$K141=справочник!$A$5,(IF(AND($A148='Состав ВТК'!$B141,$N$10=$C148),$F148*$D148*VLOOKUP($B148,Расценка!$H$3:$K$9,4,FALSE),0)),0),2),"-")</f>
        <v>0</v>
      </c>
      <c r="O148" s="298">
        <f>IFERROR(ROUND(IF('Состав ВТК'!$K141=справочник!$A$5,(IF(AND($A148='Состав ВТК'!$B141,$O$10=$C148),$F148*$D148*VLOOKUP($B148,Расценка!$H$3:$K$9,4,FALSE),0)),0),2),"-")</f>
        <v>0</v>
      </c>
      <c r="P148" s="299">
        <f t="shared" si="23"/>
        <v>0</v>
      </c>
      <c r="Q148" s="300">
        <f t="shared" si="28"/>
        <v>0</v>
      </c>
      <c r="R148" s="300">
        <f t="shared" si="29"/>
        <v>0</v>
      </c>
      <c r="S148" s="295">
        <f t="shared" si="24"/>
        <v>0</v>
      </c>
      <c r="T148" s="298">
        <f>IFERROR(ROUND(IF(AND('Расчет участников НИР'!$A148='Состав ВТК'!$B141,'Расчет участников НИР'!$T$10='Состав ВТК'!$I141),$E148,0),2),"-")</f>
        <v>0</v>
      </c>
      <c r="U148" s="298">
        <f>IFERROR(ROUND(IF(AND('Расчет участников НИР'!$A148='Состав ВТК'!$B141,'Расчет участников НИР'!$U$10='Состав ВТК'!$I141),$E148,0),2),"-")</f>
        <v>0</v>
      </c>
      <c r="V148" s="298">
        <f>IFERROR(ROUND(IF(AND('Расчет участников НИР'!$A148='Состав ВТК'!$B141,'Расчет участников НИР'!$V$10='Состав ВТК'!$I141),$E148,0),2),"-")</f>
        <v>0</v>
      </c>
      <c r="W148" s="301" t="str">
        <f t="shared" si="25"/>
        <v>-</v>
      </c>
      <c r="X148" s="301" t="str">
        <f t="shared" si="26"/>
        <v>-</v>
      </c>
      <c r="Y148" s="301" t="str">
        <f t="shared" si="27"/>
        <v>-</v>
      </c>
    </row>
    <row r="149" spans="1:25" x14ac:dyDescent="0.25">
      <c r="A149" s="217">
        <f>'Состав ВТК'!B142</f>
        <v>0</v>
      </c>
      <c r="B149" s="290">
        <f>IFERROR(VLOOKUP($A149,Распределение!$B$13:$L$113,11,FALSE),"-")</f>
        <v>0</v>
      </c>
      <c r="C149" s="291" t="str">
        <f>IFERROR(IF(VLOOKUP($B149,Расценка!$H$3:$I$9,2,FALSE)="НС",Расценка!$T$11,Расценка!$T$12),"-")</f>
        <v>-</v>
      </c>
      <c r="D149" s="291">
        <f>IFERROR(INDEX(Распределение!$1:$1048576,MATCH($A149,Распределение!$B:$B,0),MATCH($D$8,Распределение!$9:$9,0)),"---")</f>
        <v>0</v>
      </c>
      <c r="E149" s="292">
        <f>IFERROR(SUMIFS('Трудозатраты членов ВТК'!$G$17:$G$117,'Трудозатраты членов ВТК'!$D$17:$D$117,A:A),"-")</f>
        <v>0</v>
      </c>
      <c r="F149" s="293">
        <f>IFERROR(SUMIFS('Трудозатраты членов ВТК'!$F$464:$F$713,'Трудозатраты членов ВТК'!$D$464:$D$713,A:A),"-")</f>
        <v>0</v>
      </c>
      <c r="G149" s="302"/>
      <c r="H149" s="295">
        <f t="shared" si="21"/>
        <v>0</v>
      </c>
      <c r="I149" s="296">
        <f>IFERROR(ROUND(IF('Состав ВТК'!$K142=справочник!$A$5,IF(AND('Расчет участников НИР'!$A149='Состав ВТК'!$B142,$I$10='Состав ВТК'!$I142),$F149*$D149*VLOOKUP('Расчет участников НИР'!$B149,Расценка!$C$3:$E$13,3,FALSE),0),0),2),"-")</f>
        <v>0</v>
      </c>
      <c r="J149" s="296">
        <f>IFERROR(ROUND(IF('Состав ВТК'!$K142=справочник!$A$5,IF(AND('Расчет участников НИР'!$A149='Состав ВТК'!$B142,$J$10='Состав ВТК'!$I142),$F149*$D149*VLOOKUP('Расчет участников НИР'!$B149,Расценка!$C$3:$E$13,3,FALSE),0),0),2),"-")</f>
        <v>0</v>
      </c>
      <c r="K149" s="296">
        <f>IFERROR(ROUND(IF('Состав ВТК'!$K142=справочник!$A$5,IF(AND('Расчет участников НИР'!$A149='Состав ВТК'!$B142,$K$10='Состав ВТК'!$I142),$F149*$D149*VLOOKUP('Расчет участников НИР'!$B149,Расценка!$C$3:$E$13,3,FALSE),0),0),2),"-")</f>
        <v>0</v>
      </c>
      <c r="L149" s="297"/>
      <c r="M149" s="295">
        <f t="shared" si="22"/>
        <v>0</v>
      </c>
      <c r="N149" s="298">
        <f>IFERROR(ROUND(IF('Состав ВТК'!$K142=справочник!$A$5,(IF(AND($A149='Состав ВТК'!$B142,$N$10=$C149),$F149*$D149*VLOOKUP($B149,Расценка!$H$3:$K$9,4,FALSE),0)),0),2),"-")</f>
        <v>0</v>
      </c>
      <c r="O149" s="298">
        <f>IFERROR(ROUND(IF('Состав ВТК'!$K142=справочник!$A$5,(IF(AND($A149='Состав ВТК'!$B142,$O$10=$C149),$F149*$D149*VLOOKUP($B149,Расценка!$H$3:$K$9,4,FALSE),0)),0),2),"-")</f>
        <v>0</v>
      </c>
      <c r="P149" s="299">
        <f t="shared" si="23"/>
        <v>0</v>
      </c>
      <c r="Q149" s="300">
        <f t="shared" si="28"/>
        <v>0</v>
      </c>
      <c r="R149" s="300">
        <f t="shared" si="29"/>
        <v>0</v>
      </c>
      <c r="S149" s="295">
        <f t="shared" si="24"/>
        <v>0</v>
      </c>
      <c r="T149" s="298">
        <f>IFERROR(ROUND(IF(AND('Расчет участников НИР'!$A149='Состав ВТК'!$B142,'Расчет участников НИР'!$T$10='Состав ВТК'!$I142),$E149,0),2),"-")</f>
        <v>0</v>
      </c>
      <c r="U149" s="298">
        <f>IFERROR(ROUND(IF(AND('Расчет участников НИР'!$A149='Состав ВТК'!$B142,'Расчет участников НИР'!$U$10='Состав ВТК'!$I142),$E149,0),2),"-")</f>
        <v>0</v>
      </c>
      <c r="V149" s="298">
        <f>IFERROR(ROUND(IF(AND('Расчет участников НИР'!$A149='Состав ВТК'!$B142,'Расчет участников НИР'!$V$10='Состав ВТК'!$I142),$E149,0),2),"-")</f>
        <v>0</v>
      </c>
      <c r="W149" s="301" t="str">
        <f t="shared" si="25"/>
        <v>-</v>
      </c>
      <c r="X149" s="301" t="str">
        <f t="shared" si="26"/>
        <v>-</v>
      </c>
      <c r="Y149" s="301" t="str">
        <f t="shared" si="27"/>
        <v>-</v>
      </c>
    </row>
    <row r="150" spans="1:25" x14ac:dyDescent="0.25">
      <c r="A150" s="217">
        <f>'Состав ВТК'!B143</f>
        <v>0</v>
      </c>
      <c r="B150" s="290">
        <f>IFERROR(VLOOKUP($A150,Распределение!$B$13:$L$113,11,FALSE),"-")</f>
        <v>0</v>
      </c>
      <c r="C150" s="291" t="str">
        <f>IFERROR(IF(VLOOKUP($B150,Расценка!$H$3:$I$9,2,FALSE)="НС",Расценка!$T$11,Расценка!$T$12),"-")</f>
        <v>-</v>
      </c>
      <c r="D150" s="291">
        <f>IFERROR(INDEX(Распределение!$1:$1048576,MATCH($A150,Распределение!$B:$B,0),MATCH($D$8,Распределение!$9:$9,0)),"---")</f>
        <v>0</v>
      </c>
      <c r="E150" s="292">
        <f>IFERROR(SUMIFS('Трудозатраты членов ВТК'!$G$17:$G$117,'Трудозатраты членов ВТК'!$D$17:$D$117,A:A),"-")</f>
        <v>0</v>
      </c>
      <c r="F150" s="293">
        <f>IFERROR(SUMIFS('Трудозатраты членов ВТК'!$F$464:$F$713,'Трудозатраты членов ВТК'!$D$464:$D$713,A:A),"-")</f>
        <v>0</v>
      </c>
      <c r="G150" s="302"/>
      <c r="H150" s="295">
        <f t="shared" si="21"/>
        <v>0</v>
      </c>
      <c r="I150" s="296">
        <f>IFERROR(ROUND(IF('Состав ВТК'!$K143=справочник!$A$5,IF(AND('Расчет участников НИР'!$A150='Состав ВТК'!$B143,$I$10='Состав ВТК'!$I143),$F150*$D150*VLOOKUP('Расчет участников НИР'!$B150,Расценка!$C$3:$E$13,3,FALSE),0),0),2),"-")</f>
        <v>0</v>
      </c>
      <c r="J150" s="296">
        <f>IFERROR(ROUND(IF('Состав ВТК'!$K143=справочник!$A$5,IF(AND('Расчет участников НИР'!$A150='Состав ВТК'!$B143,$J$10='Состав ВТК'!$I143),$F150*$D150*VLOOKUP('Расчет участников НИР'!$B150,Расценка!$C$3:$E$13,3,FALSE),0),0),2),"-")</f>
        <v>0</v>
      </c>
      <c r="K150" s="296">
        <f>IFERROR(ROUND(IF('Состав ВТК'!$K143=справочник!$A$5,IF(AND('Расчет участников НИР'!$A150='Состав ВТК'!$B143,$K$10='Состав ВТК'!$I143),$F150*$D150*VLOOKUP('Расчет участников НИР'!$B150,Расценка!$C$3:$E$13,3,FALSE),0),0),2),"-")</f>
        <v>0</v>
      </c>
      <c r="L150" s="297"/>
      <c r="M150" s="295">
        <f t="shared" si="22"/>
        <v>0</v>
      </c>
      <c r="N150" s="298">
        <f>IFERROR(ROUND(IF('Состав ВТК'!$K143=справочник!$A$5,(IF(AND($A150='Состав ВТК'!$B143,$N$10=$C150),$F150*$D150*VLOOKUP($B150,Расценка!$H$3:$K$9,4,FALSE),0)),0),2),"-")</f>
        <v>0</v>
      </c>
      <c r="O150" s="298">
        <f>IFERROR(ROUND(IF('Состав ВТК'!$K143=справочник!$A$5,(IF(AND($A150='Состав ВТК'!$B143,$O$10=$C150),$F150*$D150*VLOOKUP($B150,Расценка!$H$3:$K$9,4,FALSE),0)),0),2),"-")</f>
        <v>0</v>
      </c>
      <c r="P150" s="299">
        <f t="shared" si="23"/>
        <v>0</v>
      </c>
      <c r="Q150" s="300">
        <f t="shared" si="28"/>
        <v>0</v>
      </c>
      <c r="R150" s="300">
        <f t="shared" si="29"/>
        <v>0</v>
      </c>
      <c r="S150" s="295">
        <f t="shared" si="24"/>
        <v>0</v>
      </c>
      <c r="T150" s="298">
        <f>IFERROR(ROUND(IF(AND('Расчет участников НИР'!$A150='Состав ВТК'!$B143,'Расчет участников НИР'!$T$10='Состав ВТК'!$I143),$E150,0),2),"-")</f>
        <v>0</v>
      </c>
      <c r="U150" s="298">
        <f>IFERROR(ROUND(IF(AND('Расчет участников НИР'!$A150='Состав ВТК'!$B143,'Расчет участников НИР'!$U$10='Состав ВТК'!$I143),$E150,0),2),"-")</f>
        <v>0</v>
      </c>
      <c r="V150" s="298">
        <f>IFERROR(ROUND(IF(AND('Расчет участников НИР'!$A150='Состав ВТК'!$B143,'Расчет участников НИР'!$V$10='Состав ВТК'!$I143),$E150,0),2),"-")</f>
        <v>0</v>
      </c>
      <c r="W150" s="301" t="str">
        <f t="shared" si="25"/>
        <v>-</v>
      </c>
      <c r="X150" s="301" t="str">
        <f t="shared" si="26"/>
        <v>-</v>
      </c>
      <c r="Y150" s="301" t="str">
        <f t="shared" si="27"/>
        <v>-</v>
      </c>
    </row>
    <row r="151" spans="1:25" x14ac:dyDescent="0.25">
      <c r="A151" s="217">
        <f>'Состав ВТК'!B144</f>
        <v>0</v>
      </c>
      <c r="B151" s="290">
        <f>IFERROR(VLOOKUP($A151,Распределение!$B$13:$L$113,11,FALSE),"-")</f>
        <v>0</v>
      </c>
      <c r="C151" s="291" t="str">
        <f>IFERROR(IF(VLOOKUP($B151,Расценка!$H$3:$I$9,2,FALSE)="НС",Расценка!$T$11,Расценка!$T$12),"-")</f>
        <v>-</v>
      </c>
      <c r="D151" s="291">
        <f>IFERROR(INDEX(Распределение!$1:$1048576,MATCH($A151,Распределение!$B:$B,0),MATCH($D$8,Распределение!$9:$9,0)),"---")</f>
        <v>0</v>
      </c>
      <c r="E151" s="292">
        <f>IFERROR(SUMIFS('Трудозатраты членов ВТК'!$G$17:$G$117,'Трудозатраты членов ВТК'!$D$17:$D$117,A:A),"-")</f>
        <v>0</v>
      </c>
      <c r="F151" s="293">
        <f>IFERROR(SUMIFS('Трудозатраты членов ВТК'!$F$464:$F$713,'Трудозатраты членов ВТК'!$D$464:$D$713,A:A),"-")</f>
        <v>0</v>
      </c>
      <c r="G151" s="302"/>
      <c r="H151" s="295">
        <f t="shared" si="21"/>
        <v>0</v>
      </c>
      <c r="I151" s="296">
        <f>IFERROR(ROUND(IF('Состав ВТК'!$K144=справочник!$A$5,IF(AND('Расчет участников НИР'!$A151='Состав ВТК'!$B144,$I$10='Состав ВТК'!$I144),$F151*$D151*VLOOKUP('Расчет участников НИР'!$B151,Расценка!$C$3:$E$13,3,FALSE),0),0),2),"-")</f>
        <v>0</v>
      </c>
      <c r="J151" s="296">
        <f>IFERROR(ROUND(IF('Состав ВТК'!$K144=справочник!$A$5,IF(AND('Расчет участников НИР'!$A151='Состав ВТК'!$B144,$J$10='Состав ВТК'!$I144),$F151*$D151*VLOOKUP('Расчет участников НИР'!$B151,Расценка!$C$3:$E$13,3,FALSE),0),0),2),"-")</f>
        <v>0</v>
      </c>
      <c r="K151" s="296">
        <f>IFERROR(ROUND(IF('Состав ВТК'!$K144=справочник!$A$5,IF(AND('Расчет участников НИР'!$A151='Состав ВТК'!$B144,$K$10='Состав ВТК'!$I144),$F151*$D151*VLOOKUP('Расчет участников НИР'!$B151,Расценка!$C$3:$E$13,3,FALSE),0),0),2),"-")</f>
        <v>0</v>
      </c>
      <c r="L151" s="297"/>
      <c r="M151" s="295">
        <f t="shared" si="22"/>
        <v>0</v>
      </c>
      <c r="N151" s="298">
        <f>IFERROR(ROUND(IF('Состав ВТК'!$K144=справочник!$A$5,(IF(AND($A151='Состав ВТК'!$B144,$N$10=$C151),$F151*$D151*VLOOKUP($B151,Расценка!$H$3:$K$9,4,FALSE),0)),0),2),"-")</f>
        <v>0</v>
      </c>
      <c r="O151" s="298">
        <f>IFERROR(ROUND(IF('Состав ВТК'!$K144=справочник!$A$5,(IF(AND($A151='Состав ВТК'!$B144,$O$10=$C151),$F151*$D151*VLOOKUP($B151,Расценка!$H$3:$K$9,4,FALSE),0)),0),2),"-")</f>
        <v>0</v>
      </c>
      <c r="P151" s="299">
        <f t="shared" si="23"/>
        <v>0</v>
      </c>
      <c r="Q151" s="300">
        <f t="shared" si="28"/>
        <v>0</v>
      </c>
      <c r="R151" s="300">
        <f t="shared" si="29"/>
        <v>0</v>
      </c>
      <c r="S151" s="295">
        <f t="shared" si="24"/>
        <v>0</v>
      </c>
      <c r="T151" s="298">
        <f>IFERROR(ROUND(IF(AND('Расчет участников НИР'!$A151='Состав ВТК'!$B144,'Расчет участников НИР'!$T$10='Состав ВТК'!$I144),$E151,0),2),"-")</f>
        <v>0</v>
      </c>
      <c r="U151" s="298">
        <f>IFERROR(ROUND(IF(AND('Расчет участников НИР'!$A151='Состав ВТК'!$B144,'Расчет участников НИР'!$U$10='Состав ВТК'!$I144),$E151,0),2),"-")</f>
        <v>0</v>
      </c>
      <c r="V151" s="298">
        <f>IFERROR(ROUND(IF(AND('Расчет участников НИР'!$A151='Состав ВТК'!$B144,'Расчет участников НИР'!$V$10='Состав ВТК'!$I144),$E151,0),2),"-")</f>
        <v>0</v>
      </c>
      <c r="W151" s="301" t="str">
        <f t="shared" si="25"/>
        <v>-</v>
      </c>
      <c r="X151" s="301" t="str">
        <f t="shared" si="26"/>
        <v>-</v>
      </c>
      <c r="Y151" s="301" t="str">
        <f t="shared" si="27"/>
        <v>-</v>
      </c>
    </row>
    <row r="152" spans="1:25" x14ac:dyDescent="0.25">
      <c r="A152" s="217">
        <f>'Состав ВТК'!B145</f>
        <v>0</v>
      </c>
      <c r="B152" s="290">
        <f>IFERROR(VLOOKUP($A152,Распределение!$B$13:$L$113,11,FALSE),"-")</f>
        <v>0</v>
      </c>
      <c r="C152" s="291" t="str">
        <f>IFERROR(IF(VLOOKUP($B152,Расценка!$H$3:$I$9,2,FALSE)="НС",Расценка!$T$11,Расценка!$T$12),"-")</f>
        <v>-</v>
      </c>
      <c r="D152" s="291">
        <f>IFERROR(INDEX(Распределение!$1:$1048576,MATCH($A152,Распределение!$B:$B,0),MATCH($D$8,Распределение!$9:$9,0)),"---")</f>
        <v>0</v>
      </c>
      <c r="E152" s="292">
        <f>IFERROR(SUMIFS('Трудозатраты членов ВТК'!$G$17:$G$117,'Трудозатраты членов ВТК'!$D$17:$D$117,A:A),"-")</f>
        <v>0</v>
      </c>
      <c r="F152" s="293">
        <f>IFERROR(SUMIFS('Трудозатраты членов ВТК'!$F$464:$F$713,'Трудозатраты членов ВТК'!$D$464:$D$713,A:A),"-")</f>
        <v>0</v>
      </c>
      <c r="G152" s="302"/>
      <c r="H152" s="295">
        <f t="shared" si="21"/>
        <v>0</v>
      </c>
      <c r="I152" s="296">
        <f>IFERROR(ROUND(IF('Состав ВТК'!$K145=справочник!$A$5,IF(AND('Расчет участников НИР'!$A152='Состав ВТК'!$B145,$I$10='Состав ВТК'!$I145),$F152*$D152*VLOOKUP('Расчет участников НИР'!$B152,Расценка!$C$3:$E$13,3,FALSE),0),0),2),"-")</f>
        <v>0</v>
      </c>
      <c r="J152" s="296">
        <f>IFERROR(ROUND(IF('Состав ВТК'!$K145=справочник!$A$5,IF(AND('Расчет участников НИР'!$A152='Состав ВТК'!$B145,$J$10='Состав ВТК'!$I145),$F152*$D152*VLOOKUP('Расчет участников НИР'!$B152,Расценка!$C$3:$E$13,3,FALSE),0),0),2),"-")</f>
        <v>0</v>
      </c>
      <c r="K152" s="296">
        <f>IFERROR(ROUND(IF('Состав ВТК'!$K145=справочник!$A$5,IF(AND('Расчет участников НИР'!$A152='Состав ВТК'!$B145,$K$10='Состав ВТК'!$I145),$F152*$D152*VLOOKUP('Расчет участников НИР'!$B152,Расценка!$C$3:$E$13,3,FALSE),0),0),2),"-")</f>
        <v>0</v>
      </c>
      <c r="L152" s="297"/>
      <c r="M152" s="295">
        <f t="shared" si="22"/>
        <v>0</v>
      </c>
      <c r="N152" s="298">
        <f>IFERROR(ROUND(IF('Состав ВТК'!$K145=справочник!$A$5,(IF(AND($A152='Состав ВТК'!$B145,$N$10=$C152),$F152*$D152*VLOOKUP($B152,Расценка!$H$3:$K$9,4,FALSE),0)),0),2),"-")</f>
        <v>0</v>
      </c>
      <c r="O152" s="298">
        <f>IFERROR(ROUND(IF('Состав ВТК'!$K145=справочник!$A$5,(IF(AND($A152='Состав ВТК'!$B145,$O$10=$C152),$F152*$D152*VLOOKUP($B152,Расценка!$H$3:$K$9,4,FALSE),0)),0),2),"-")</f>
        <v>0</v>
      </c>
      <c r="P152" s="299">
        <f t="shared" si="23"/>
        <v>0</v>
      </c>
      <c r="Q152" s="300">
        <f t="shared" si="28"/>
        <v>0</v>
      </c>
      <c r="R152" s="300">
        <f t="shared" si="29"/>
        <v>0</v>
      </c>
      <c r="S152" s="295">
        <f t="shared" si="24"/>
        <v>0</v>
      </c>
      <c r="T152" s="298">
        <f>IFERROR(ROUND(IF(AND('Расчет участников НИР'!$A152='Состав ВТК'!$B145,'Расчет участников НИР'!$T$10='Состав ВТК'!$I145),$E152,0),2),"-")</f>
        <v>0</v>
      </c>
      <c r="U152" s="298">
        <f>IFERROR(ROUND(IF(AND('Расчет участников НИР'!$A152='Состав ВТК'!$B145,'Расчет участников НИР'!$U$10='Состав ВТК'!$I145),$E152,0),2),"-")</f>
        <v>0</v>
      </c>
      <c r="V152" s="298">
        <f>IFERROR(ROUND(IF(AND('Расчет участников НИР'!$A152='Состав ВТК'!$B145,'Расчет участников НИР'!$V$10='Состав ВТК'!$I145),$E152,0),2),"-")</f>
        <v>0</v>
      </c>
      <c r="W152" s="301" t="str">
        <f t="shared" si="25"/>
        <v>-</v>
      </c>
      <c r="X152" s="301" t="str">
        <f t="shared" si="26"/>
        <v>-</v>
      </c>
      <c r="Y152" s="301" t="str">
        <f t="shared" si="27"/>
        <v>-</v>
      </c>
    </row>
    <row r="153" spans="1:25" x14ac:dyDescent="0.25">
      <c r="A153" s="217">
        <f>'Состав ВТК'!B146</f>
        <v>0</v>
      </c>
      <c r="B153" s="290">
        <f>IFERROR(VLOOKUP($A153,Распределение!$B$13:$L$113,11,FALSE),"-")</f>
        <v>0</v>
      </c>
      <c r="C153" s="291" t="str">
        <f>IFERROR(IF(VLOOKUP($B153,Расценка!$H$3:$I$9,2,FALSE)="НС",Расценка!$T$11,Расценка!$T$12),"-")</f>
        <v>-</v>
      </c>
      <c r="D153" s="291">
        <f>IFERROR(INDEX(Распределение!$1:$1048576,MATCH($A153,Распределение!$B:$B,0),MATCH($D$8,Распределение!$9:$9,0)),"---")</f>
        <v>0</v>
      </c>
      <c r="E153" s="292">
        <f>IFERROR(SUMIFS('Трудозатраты членов ВТК'!$G$17:$G$117,'Трудозатраты членов ВТК'!$D$17:$D$117,A:A),"-")</f>
        <v>0</v>
      </c>
      <c r="F153" s="293">
        <f>IFERROR(SUMIFS('Трудозатраты членов ВТК'!$F$464:$F$713,'Трудозатраты членов ВТК'!$D$464:$D$713,A:A),"-")</f>
        <v>0</v>
      </c>
      <c r="G153" s="302"/>
      <c r="H153" s="295">
        <f t="shared" si="21"/>
        <v>0</v>
      </c>
      <c r="I153" s="296">
        <f>IFERROR(ROUND(IF('Состав ВТК'!$K146=справочник!$A$5,IF(AND('Расчет участников НИР'!$A153='Состав ВТК'!$B146,$I$10='Состав ВТК'!$I146),$F153*$D153*VLOOKUP('Расчет участников НИР'!$B153,Расценка!$C$3:$E$13,3,FALSE),0),0),2),"-")</f>
        <v>0</v>
      </c>
      <c r="J153" s="296">
        <f>IFERROR(ROUND(IF('Состав ВТК'!$K146=справочник!$A$5,IF(AND('Расчет участников НИР'!$A153='Состав ВТК'!$B146,$J$10='Состав ВТК'!$I146),$F153*$D153*VLOOKUP('Расчет участников НИР'!$B153,Расценка!$C$3:$E$13,3,FALSE),0),0),2),"-")</f>
        <v>0</v>
      </c>
      <c r="K153" s="296">
        <f>IFERROR(ROUND(IF('Состав ВТК'!$K146=справочник!$A$5,IF(AND('Расчет участников НИР'!$A153='Состав ВТК'!$B146,$K$10='Состав ВТК'!$I146),$F153*$D153*VLOOKUP('Расчет участников НИР'!$B153,Расценка!$C$3:$E$13,3,FALSE),0),0),2),"-")</f>
        <v>0</v>
      </c>
      <c r="L153" s="297"/>
      <c r="M153" s="295">
        <f t="shared" si="22"/>
        <v>0</v>
      </c>
      <c r="N153" s="298">
        <f>IFERROR(ROUND(IF('Состав ВТК'!$K146=справочник!$A$5,(IF(AND($A153='Состав ВТК'!$B146,$N$10=$C153),$F153*$D153*VLOOKUP($B153,Расценка!$H$3:$K$9,4,FALSE),0)),0),2),"-")</f>
        <v>0</v>
      </c>
      <c r="O153" s="298">
        <f>IFERROR(ROUND(IF('Состав ВТК'!$K146=справочник!$A$5,(IF(AND($A153='Состав ВТК'!$B146,$O$10=$C153),$F153*$D153*VLOOKUP($B153,Расценка!$H$3:$K$9,4,FALSE),0)),0),2),"-")</f>
        <v>0</v>
      </c>
      <c r="P153" s="299">
        <f t="shared" si="23"/>
        <v>0</v>
      </c>
      <c r="Q153" s="300">
        <f t="shared" si="28"/>
        <v>0</v>
      </c>
      <c r="R153" s="300">
        <f t="shared" si="29"/>
        <v>0</v>
      </c>
      <c r="S153" s="295">
        <f t="shared" si="24"/>
        <v>0</v>
      </c>
      <c r="T153" s="298">
        <f>IFERROR(ROUND(IF(AND('Расчет участников НИР'!$A153='Состав ВТК'!$B146,'Расчет участников НИР'!$T$10='Состав ВТК'!$I146),$E153,0),2),"-")</f>
        <v>0</v>
      </c>
      <c r="U153" s="298">
        <f>IFERROR(ROUND(IF(AND('Расчет участников НИР'!$A153='Состав ВТК'!$B146,'Расчет участников НИР'!$U$10='Состав ВТК'!$I146),$E153,0),2),"-")</f>
        <v>0</v>
      </c>
      <c r="V153" s="298">
        <f>IFERROR(ROUND(IF(AND('Расчет участников НИР'!$A153='Состав ВТК'!$B146,'Расчет участников НИР'!$V$10='Состав ВТК'!$I146),$E153,0),2),"-")</f>
        <v>0</v>
      </c>
      <c r="W153" s="301" t="str">
        <f t="shared" si="25"/>
        <v>-</v>
      </c>
      <c r="X153" s="301" t="str">
        <f t="shared" si="26"/>
        <v>-</v>
      </c>
      <c r="Y153" s="301" t="str">
        <f t="shared" si="27"/>
        <v>-</v>
      </c>
    </row>
    <row r="154" spans="1:25" x14ac:dyDescent="0.25">
      <c r="A154" s="217">
        <f>'Состав ВТК'!B147</f>
        <v>0</v>
      </c>
      <c r="B154" s="290">
        <f>IFERROR(VLOOKUP($A154,Распределение!$B$13:$L$113,11,FALSE),"-")</f>
        <v>0</v>
      </c>
      <c r="C154" s="291" t="str">
        <f>IFERROR(IF(VLOOKUP($B154,Расценка!$H$3:$I$9,2,FALSE)="НС",Расценка!$T$11,Расценка!$T$12),"-")</f>
        <v>-</v>
      </c>
      <c r="D154" s="291">
        <f>IFERROR(INDEX(Распределение!$1:$1048576,MATCH($A154,Распределение!$B:$B,0),MATCH($D$8,Распределение!$9:$9,0)),"---")</f>
        <v>0</v>
      </c>
      <c r="E154" s="292">
        <f>IFERROR(SUMIFS('Трудозатраты членов ВТК'!$G$17:$G$117,'Трудозатраты членов ВТК'!$D$17:$D$117,A:A),"-")</f>
        <v>0</v>
      </c>
      <c r="F154" s="293">
        <f>IFERROR(SUMIFS('Трудозатраты членов ВТК'!$F$464:$F$713,'Трудозатраты членов ВТК'!$D$464:$D$713,A:A),"-")</f>
        <v>0</v>
      </c>
      <c r="G154" s="302"/>
      <c r="H154" s="295">
        <f t="shared" si="21"/>
        <v>0</v>
      </c>
      <c r="I154" s="296">
        <f>IFERROR(ROUND(IF('Состав ВТК'!$K147=справочник!$A$5,IF(AND('Расчет участников НИР'!$A154='Состав ВТК'!$B147,$I$10='Состав ВТК'!$I147),$F154*$D154*VLOOKUP('Расчет участников НИР'!$B154,Расценка!$C$3:$E$13,3,FALSE),0),0),2),"-")</f>
        <v>0</v>
      </c>
      <c r="J154" s="296">
        <f>IFERROR(ROUND(IF('Состав ВТК'!$K147=справочник!$A$5,IF(AND('Расчет участников НИР'!$A154='Состав ВТК'!$B147,$J$10='Состав ВТК'!$I147),$F154*$D154*VLOOKUP('Расчет участников НИР'!$B154,Расценка!$C$3:$E$13,3,FALSE),0),0),2),"-")</f>
        <v>0</v>
      </c>
      <c r="K154" s="296">
        <f>IFERROR(ROUND(IF('Состав ВТК'!$K147=справочник!$A$5,IF(AND('Расчет участников НИР'!$A154='Состав ВТК'!$B147,$K$10='Состав ВТК'!$I147),$F154*$D154*VLOOKUP('Расчет участников НИР'!$B154,Расценка!$C$3:$E$13,3,FALSE),0),0),2),"-")</f>
        <v>0</v>
      </c>
      <c r="L154" s="297"/>
      <c r="M154" s="295">
        <f t="shared" si="22"/>
        <v>0</v>
      </c>
      <c r="N154" s="298">
        <f>IFERROR(ROUND(IF('Состав ВТК'!$K147=справочник!$A$5,(IF(AND($A154='Состав ВТК'!$B147,$N$10=$C154),$F154*$D154*VLOOKUP($B154,Расценка!$H$3:$K$9,4,FALSE),0)),0),2),"-")</f>
        <v>0</v>
      </c>
      <c r="O154" s="298">
        <f>IFERROR(ROUND(IF('Состав ВТК'!$K147=справочник!$A$5,(IF(AND($A154='Состав ВТК'!$B147,$O$10=$C154),$F154*$D154*VLOOKUP($B154,Расценка!$H$3:$K$9,4,FALSE),0)),0),2),"-")</f>
        <v>0</v>
      </c>
      <c r="P154" s="299">
        <f t="shared" si="23"/>
        <v>0</v>
      </c>
      <c r="Q154" s="300">
        <f t="shared" si="28"/>
        <v>0</v>
      </c>
      <c r="R154" s="300">
        <f t="shared" si="29"/>
        <v>0</v>
      </c>
      <c r="S154" s="295">
        <f t="shared" si="24"/>
        <v>0</v>
      </c>
      <c r="T154" s="298">
        <f>IFERROR(ROUND(IF(AND('Расчет участников НИР'!$A154='Состав ВТК'!$B147,'Расчет участников НИР'!$T$10='Состав ВТК'!$I147),$E154,0),2),"-")</f>
        <v>0</v>
      </c>
      <c r="U154" s="298">
        <f>IFERROR(ROUND(IF(AND('Расчет участников НИР'!$A154='Состав ВТК'!$B147,'Расчет участников НИР'!$U$10='Состав ВТК'!$I147),$E154,0),2),"-")</f>
        <v>0</v>
      </c>
      <c r="V154" s="298">
        <f>IFERROR(ROUND(IF(AND('Расчет участников НИР'!$A154='Состав ВТК'!$B147,'Расчет участников НИР'!$V$10='Состав ВТК'!$I147),$E154,0),2),"-")</f>
        <v>0</v>
      </c>
      <c r="W154" s="301" t="str">
        <f t="shared" si="25"/>
        <v>-</v>
      </c>
      <c r="X154" s="301" t="str">
        <f t="shared" si="26"/>
        <v>-</v>
      </c>
      <c r="Y154" s="301" t="str">
        <f t="shared" si="27"/>
        <v>-</v>
      </c>
    </row>
    <row r="155" spans="1:25" x14ac:dyDescent="0.25">
      <c r="A155" s="217">
        <f>'Состав ВТК'!B148</f>
        <v>0</v>
      </c>
      <c r="B155" s="290">
        <f>IFERROR(VLOOKUP($A155,Распределение!$B$13:$L$113,11,FALSE),"-")</f>
        <v>0</v>
      </c>
      <c r="C155" s="291" t="str">
        <f>IFERROR(IF(VLOOKUP($B155,Расценка!$H$3:$I$9,2,FALSE)="НС",Расценка!$T$11,Расценка!$T$12),"-")</f>
        <v>-</v>
      </c>
      <c r="D155" s="291">
        <f>IFERROR(INDEX(Распределение!$1:$1048576,MATCH($A155,Распределение!$B:$B,0),MATCH($D$8,Распределение!$9:$9,0)),"---")</f>
        <v>0</v>
      </c>
      <c r="E155" s="292">
        <f>IFERROR(SUMIFS('Трудозатраты членов ВТК'!$G$17:$G$117,'Трудозатраты членов ВТК'!$D$17:$D$117,A:A),"-")</f>
        <v>0</v>
      </c>
      <c r="F155" s="293">
        <f>IFERROR(SUMIFS('Трудозатраты членов ВТК'!$F$464:$F$713,'Трудозатраты членов ВТК'!$D$464:$D$713,A:A),"-")</f>
        <v>0</v>
      </c>
      <c r="G155" s="302"/>
      <c r="H155" s="295">
        <f t="shared" si="21"/>
        <v>0</v>
      </c>
      <c r="I155" s="296">
        <f>IFERROR(ROUND(IF('Состав ВТК'!$K148=справочник!$A$5,IF(AND('Расчет участников НИР'!$A155='Состав ВТК'!$B148,$I$10='Состав ВТК'!$I148),$F155*$D155*VLOOKUP('Расчет участников НИР'!$B155,Расценка!$C$3:$E$13,3,FALSE),0),0),2),"-")</f>
        <v>0</v>
      </c>
      <c r="J155" s="296">
        <f>IFERROR(ROUND(IF('Состав ВТК'!$K148=справочник!$A$5,IF(AND('Расчет участников НИР'!$A155='Состав ВТК'!$B148,$J$10='Состав ВТК'!$I148),$F155*$D155*VLOOKUP('Расчет участников НИР'!$B155,Расценка!$C$3:$E$13,3,FALSE),0),0),2),"-")</f>
        <v>0</v>
      </c>
      <c r="K155" s="296">
        <f>IFERROR(ROUND(IF('Состав ВТК'!$K148=справочник!$A$5,IF(AND('Расчет участников НИР'!$A155='Состав ВТК'!$B148,$K$10='Состав ВТК'!$I148),$F155*$D155*VLOOKUP('Расчет участников НИР'!$B155,Расценка!$C$3:$E$13,3,FALSE),0),0),2),"-")</f>
        <v>0</v>
      </c>
      <c r="L155" s="297"/>
      <c r="M155" s="295">
        <f t="shared" si="22"/>
        <v>0</v>
      </c>
      <c r="N155" s="298">
        <f>IFERROR(ROUND(IF('Состав ВТК'!$K148=справочник!$A$5,(IF(AND($A155='Состав ВТК'!$B148,$N$10=$C155),$F155*$D155*VLOOKUP($B155,Расценка!$H$3:$K$9,4,FALSE),0)),0),2),"-")</f>
        <v>0</v>
      </c>
      <c r="O155" s="298">
        <f>IFERROR(ROUND(IF('Состав ВТК'!$K148=справочник!$A$5,(IF(AND($A155='Состав ВТК'!$B148,$O$10=$C155),$F155*$D155*VLOOKUP($B155,Расценка!$H$3:$K$9,4,FALSE),0)),0),2),"-")</f>
        <v>0</v>
      </c>
      <c r="P155" s="299">
        <f t="shared" si="23"/>
        <v>0</v>
      </c>
      <c r="Q155" s="300">
        <f t="shared" si="28"/>
        <v>0</v>
      </c>
      <c r="R155" s="300">
        <f t="shared" si="29"/>
        <v>0</v>
      </c>
      <c r="S155" s="295">
        <f t="shared" si="24"/>
        <v>0</v>
      </c>
      <c r="T155" s="298">
        <f>IFERROR(ROUND(IF(AND('Расчет участников НИР'!$A155='Состав ВТК'!$B148,'Расчет участников НИР'!$T$10='Состав ВТК'!$I148),$E155,0),2),"-")</f>
        <v>0</v>
      </c>
      <c r="U155" s="298">
        <f>IFERROR(ROUND(IF(AND('Расчет участников НИР'!$A155='Состав ВТК'!$B148,'Расчет участников НИР'!$U$10='Состав ВТК'!$I148),$E155,0),2),"-")</f>
        <v>0</v>
      </c>
      <c r="V155" s="298">
        <f>IFERROR(ROUND(IF(AND('Расчет участников НИР'!$A155='Состав ВТК'!$B148,'Расчет участников НИР'!$V$10='Состав ВТК'!$I148),$E155,0),2),"-")</f>
        <v>0</v>
      </c>
      <c r="W155" s="301" t="str">
        <f t="shared" si="25"/>
        <v>-</v>
      </c>
      <c r="X155" s="301" t="str">
        <f t="shared" si="26"/>
        <v>-</v>
      </c>
      <c r="Y155" s="301" t="str">
        <f t="shared" si="27"/>
        <v>-</v>
      </c>
    </row>
    <row r="156" spans="1:25" x14ac:dyDescent="0.25">
      <c r="A156" s="217">
        <f>'Состав ВТК'!B149</f>
        <v>0</v>
      </c>
      <c r="B156" s="290">
        <f>IFERROR(VLOOKUP($A156,Распределение!$B$13:$L$113,11,FALSE),"-")</f>
        <v>0</v>
      </c>
      <c r="C156" s="291" t="str">
        <f>IFERROR(IF(VLOOKUP($B156,Расценка!$H$3:$I$9,2,FALSE)="НС",Расценка!$T$11,Расценка!$T$12),"-")</f>
        <v>-</v>
      </c>
      <c r="D156" s="291">
        <f>IFERROR(INDEX(Распределение!$1:$1048576,MATCH($A156,Распределение!$B:$B,0),MATCH($D$8,Распределение!$9:$9,0)),"---")</f>
        <v>0</v>
      </c>
      <c r="E156" s="292">
        <f>IFERROR(SUMIFS('Трудозатраты членов ВТК'!$G$17:$G$117,'Трудозатраты членов ВТК'!$D$17:$D$117,A:A),"-")</f>
        <v>0</v>
      </c>
      <c r="F156" s="293">
        <f>IFERROR(SUMIFS('Трудозатраты членов ВТК'!$F$464:$F$713,'Трудозатраты членов ВТК'!$D$464:$D$713,A:A),"-")</f>
        <v>0</v>
      </c>
      <c r="G156" s="302"/>
      <c r="H156" s="295">
        <f t="shared" si="21"/>
        <v>0</v>
      </c>
      <c r="I156" s="296">
        <f>IFERROR(ROUND(IF('Состав ВТК'!$K149=справочник!$A$5,IF(AND('Расчет участников НИР'!$A156='Состав ВТК'!$B149,$I$10='Состав ВТК'!$I149),$F156*$D156*VLOOKUP('Расчет участников НИР'!$B156,Расценка!$C$3:$E$13,3,FALSE),0),0),2),"-")</f>
        <v>0</v>
      </c>
      <c r="J156" s="296">
        <f>IFERROR(ROUND(IF('Состав ВТК'!$K149=справочник!$A$5,IF(AND('Расчет участников НИР'!$A156='Состав ВТК'!$B149,$J$10='Состав ВТК'!$I149),$F156*$D156*VLOOKUP('Расчет участников НИР'!$B156,Расценка!$C$3:$E$13,3,FALSE),0),0),2),"-")</f>
        <v>0</v>
      </c>
      <c r="K156" s="296">
        <f>IFERROR(ROUND(IF('Состав ВТК'!$K149=справочник!$A$5,IF(AND('Расчет участников НИР'!$A156='Состав ВТК'!$B149,$K$10='Состав ВТК'!$I149),$F156*$D156*VLOOKUP('Расчет участников НИР'!$B156,Расценка!$C$3:$E$13,3,FALSE),0),0),2),"-")</f>
        <v>0</v>
      </c>
      <c r="L156" s="297"/>
      <c r="M156" s="295">
        <f t="shared" si="22"/>
        <v>0</v>
      </c>
      <c r="N156" s="298">
        <f>IFERROR(ROUND(IF('Состав ВТК'!$K149=справочник!$A$5,(IF(AND($A156='Состав ВТК'!$B149,$N$10=$C156),$F156*$D156*VLOOKUP($B156,Расценка!$H$3:$K$9,4,FALSE),0)),0),2),"-")</f>
        <v>0</v>
      </c>
      <c r="O156" s="298">
        <f>IFERROR(ROUND(IF('Состав ВТК'!$K149=справочник!$A$5,(IF(AND($A156='Состав ВТК'!$B149,$O$10=$C156),$F156*$D156*VLOOKUP($B156,Расценка!$H$3:$K$9,4,FALSE),0)),0),2),"-")</f>
        <v>0</v>
      </c>
      <c r="P156" s="299">
        <f t="shared" si="23"/>
        <v>0</v>
      </c>
      <c r="Q156" s="300">
        <f t="shared" si="28"/>
        <v>0</v>
      </c>
      <c r="R156" s="300">
        <f t="shared" si="29"/>
        <v>0</v>
      </c>
      <c r="S156" s="295">
        <f t="shared" si="24"/>
        <v>0</v>
      </c>
      <c r="T156" s="298">
        <f>IFERROR(ROUND(IF(AND('Расчет участников НИР'!$A156='Состав ВТК'!$B149,'Расчет участников НИР'!$T$10='Состав ВТК'!$I149),$E156,0),2),"-")</f>
        <v>0</v>
      </c>
      <c r="U156" s="298">
        <f>IFERROR(ROUND(IF(AND('Расчет участников НИР'!$A156='Состав ВТК'!$B149,'Расчет участников НИР'!$U$10='Состав ВТК'!$I149),$E156,0),2),"-")</f>
        <v>0</v>
      </c>
      <c r="V156" s="298">
        <f>IFERROR(ROUND(IF(AND('Расчет участников НИР'!$A156='Состав ВТК'!$B149,'Расчет участников НИР'!$V$10='Состав ВТК'!$I149),$E156,0),2),"-")</f>
        <v>0</v>
      </c>
      <c r="W156" s="301" t="str">
        <f t="shared" si="25"/>
        <v>-</v>
      </c>
      <c r="X156" s="301" t="str">
        <f t="shared" si="26"/>
        <v>-</v>
      </c>
      <c r="Y156" s="301" t="str">
        <f t="shared" si="27"/>
        <v>-</v>
      </c>
    </row>
    <row r="157" spans="1:25" x14ac:dyDescent="0.25">
      <c r="A157" s="217">
        <f>'Состав ВТК'!B150</f>
        <v>0</v>
      </c>
      <c r="B157" s="290">
        <f>IFERROR(VLOOKUP($A157,Распределение!$B$13:$L$113,11,FALSE),"-")</f>
        <v>0</v>
      </c>
      <c r="C157" s="291" t="str">
        <f>IFERROR(IF(VLOOKUP($B157,Расценка!$H$3:$I$9,2,FALSE)="НС",Расценка!$T$11,Расценка!$T$12),"-")</f>
        <v>-</v>
      </c>
      <c r="D157" s="291">
        <f>IFERROR(INDEX(Распределение!$1:$1048576,MATCH($A157,Распределение!$B:$B,0),MATCH($D$8,Распределение!$9:$9,0)),"---")</f>
        <v>0</v>
      </c>
      <c r="E157" s="292">
        <f>IFERROR(SUMIFS('Трудозатраты членов ВТК'!$G$17:$G$117,'Трудозатраты членов ВТК'!$D$17:$D$117,A:A),"-")</f>
        <v>0</v>
      </c>
      <c r="F157" s="293">
        <f>IFERROR(SUMIFS('Трудозатраты членов ВТК'!$F$464:$F$713,'Трудозатраты членов ВТК'!$D$464:$D$713,A:A),"-")</f>
        <v>0</v>
      </c>
      <c r="G157" s="302"/>
      <c r="H157" s="295">
        <f t="shared" si="21"/>
        <v>0</v>
      </c>
      <c r="I157" s="296">
        <f>IFERROR(ROUND(IF('Состав ВТК'!$K150=справочник!$A$5,IF(AND('Расчет участников НИР'!$A157='Состав ВТК'!$B150,$I$10='Состав ВТК'!$I150),$F157*$D157*VLOOKUP('Расчет участников НИР'!$B157,Расценка!$C$3:$E$13,3,FALSE),0),0),2),"-")</f>
        <v>0</v>
      </c>
      <c r="J157" s="296">
        <f>IFERROR(ROUND(IF('Состав ВТК'!$K150=справочник!$A$5,IF(AND('Расчет участников НИР'!$A157='Состав ВТК'!$B150,$J$10='Состав ВТК'!$I150),$F157*$D157*VLOOKUP('Расчет участников НИР'!$B157,Расценка!$C$3:$E$13,3,FALSE),0),0),2),"-")</f>
        <v>0</v>
      </c>
      <c r="K157" s="296">
        <f>IFERROR(ROUND(IF('Состав ВТК'!$K150=справочник!$A$5,IF(AND('Расчет участников НИР'!$A157='Состав ВТК'!$B150,$K$10='Состав ВТК'!$I150),$F157*$D157*VLOOKUP('Расчет участников НИР'!$B157,Расценка!$C$3:$E$13,3,FALSE),0),0),2),"-")</f>
        <v>0</v>
      </c>
      <c r="L157" s="297"/>
      <c r="M157" s="295">
        <f t="shared" si="22"/>
        <v>0</v>
      </c>
      <c r="N157" s="298">
        <f>IFERROR(ROUND(IF('Состав ВТК'!$K150=справочник!$A$5,(IF(AND($A157='Состав ВТК'!$B150,$N$10=$C157),$F157*$D157*VLOOKUP($B157,Расценка!$H$3:$K$9,4,FALSE),0)),0),2),"-")</f>
        <v>0</v>
      </c>
      <c r="O157" s="298">
        <f>IFERROR(ROUND(IF('Состав ВТК'!$K150=справочник!$A$5,(IF(AND($A157='Состав ВТК'!$B150,$O$10=$C157),$F157*$D157*VLOOKUP($B157,Расценка!$H$3:$K$9,4,FALSE),0)),0),2),"-")</f>
        <v>0</v>
      </c>
      <c r="P157" s="299">
        <f t="shared" si="23"/>
        <v>0</v>
      </c>
      <c r="Q157" s="300">
        <f t="shared" si="28"/>
        <v>0</v>
      </c>
      <c r="R157" s="300">
        <f t="shared" si="29"/>
        <v>0</v>
      </c>
      <c r="S157" s="295">
        <f t="shared" si="24"/>
        <v>0</v>
      </c>
      <c r="T157" s="298">
        <f>IFERROR(ROUND(IF(AND('Расчет участников НИР'!$A157='Состав ВТК'!$B150,'Расчет участников НИР'!$T$10='Состав ВТК'!$I150),$E157,0),2),"-")</f>
        <v>0</v>
      </c>
      <c r="U157" s="298">
        <f>IFERROR(ROUND(IF(AND('Расчет участников НИР'!$A157='Состав ВТК'!$B150,'Расчет участников НИР'!$U$10='Состав ВТК'!$I150),$E157,0),2),"-")</f>
        <v>0</v>
      </c>
      <c r="V157" s="298">
        <f>IFERROR(ROUND(IF(AND('Расчет участников НИР'!$A157='Состав ВТК'!$B150,'Расчет участников НИР'!$V$10='Состав ВТК'!$I150),$E157,0),2),"-")</f>
        <v>0</v>
      </c>
      <c r="W157" s="301" t="str">
        <f t="shared" si="25"/>
        <v>-</v>
      </c>
      <c r="X157" s="301" t="str">
        <f t="shared" si="26"/>
        <v>-</v>
      </c>
      <c r="Y157" s="301" t="str">
        <f t="shared" si="27"/>
        <v>-</v>
      </c>
    </row>
    <row r="158" spans="1:25" x14ac:dyDescent="0.25">
      <c r="A158" s="217">
        <f>'Состав ВТК'!B151</f>
        <v>0</v>
      </c>
      <c r="B158" s="290">
        <f>IFERROR(VLOOKUP($A158,Распределение!$B$13:$L$113,11,FALSE),"-")</f>
        <v>0</v>
      </c>
      <c r="C158" s="291" t="str">
        <f>IFERROR(IF(VLOOKUP($B158,Расценка!$H$3:$I$9,2,FALSE)="НС",Расценка!$T$11,Расценка!$T$12),"-")</f>
        <v>-</v>
      </c>
      <c r="D158" s="291">
        <f>IFERROR(INDEX(Распределение!$1:$1048576,MATCH($A158,Распределение!$B:$B,0),MATCH($D$8,Распределение!$9:$9,0)),"---")</f>
        <v>0</v>
      </c>
      <c r="E158" s="292">
        <f>IFERROR(SUMIFS('Трудозатраты членов ВТК'!$G$17:$G$117,'Трудозатраты членов ВТК'!$D$17:$D$117,A:A),"-")</f>
        <v>0</v>
      </c>
      <c r="F158" s="293">
        <f>IFERROR(SUMIFS('Трудозатраты членов ВТК'!$F$464:$F$713,'Трудозатраты членов ВТК'!$D$464:$D$713,A:A),"-")</f>
        <v>0</v>
      </c>
      <c r="G158" s="302"/>
      <c r="H158" s="295">
        <f t="shared" si="21"/>
        <v>0</v>
      </c>
      <c r="I158" s="296">
        <f>IFERROR(ROUND(IF('Состав ВТК'!$K151=справочник!$A$5,IF(AND('Расчет участников НИР'!$A158='Состав ВТК'!$B151,$I$10='Состав ВТК'!$I151),$F158*$D158*VLOOKUP('Расчет участников НИР'!$B158,Расценка!$C$3:$E$13,3,FALSE),0),0),2),"-")</f>
        <v>0</v>
      </c>
      <c r="J158" s="296">
        <f>IFERROR(ROUND(IF('Состав ВТК'!$K151=справочник!$A$5,IF(AND('Расчет участников НИР'!$A158='Состав ВТК'!$B151,$J$10='Состав ВТК'!$I151),$F158*$D158*VLOOKUP('Расчет участников НИР'!$B158,Расценка!$C$3:$E$13,3,FALSE),0),0),2),"-")</f>
        <v>0</v>
      </c>
      <c r="K158" s="296">
        <f>IFERROR(ROUND(IF('Состав ВТК'!$K151=справочник!$A$5,IF(AND('Расчет участников НИР'!$A158='Состав ВТК'!$B151,$K$10='Состав ВТК'!$I151),$F158*$D158*VLOOKUP('Расчет участников НИР'!$B158,Расценка!$C$3:$E$13,3,FALSE),0),0),2),"-")</f>
        <v>0</v>
      </c>
      <c r="L158" s="297"/>
      <c r="M158" s="295">
        <f t="shared" si="22"/>
        <v>0</v>
      </c>
      <c r="N158" s="298">
        <f>IFERROR(ROUND(IF('Состав ВТК'!$K151=справочник!$A$5,(IF(AND($A158='Состав ВТК'!$B151,$N$10=$C158),$F158*$D158*VLOOKUP($B158,Расценка!$H$3:$K$9,4,FALSE),0)),0),2),"-")</f>
        <v>0</v>
      </c>
      <c r="O158" s="298">
        <f>IFERROR(ROUND(IF('Состав ВТК'!$K151=справочник!$A$5,(IF(AND($A158='Состав ВТК'!$B151,$O$10=$C158),$F158*$D158*VLOOKUP($B158,Расценка!$H$3:$K$9,4,FALSE),0)),0),2),"-")</f>
        <v>0</v>
      </c>
      <c r="P158" s="299">
        <f t="shared" si="23"/>
        <v>0</v>
      </c>
      <c r="Q158" s="300">
        <f t="shared" si="28"/>
        <v>0</v>
      </c>
      <c r="R158" s="300">
        <f t="shared" si="29"/>
        <v>0</v>
      </c>
      <c r="S158" s="295">
        <f t="shared" si="24"/>
        <v>0</v>
      </c>
      <c r="T158" s="298">
        <f>IFERROR(ROUND(IF(AND('Расчет участников НИР'!$A158='Состав ВТК'!$B151,'Расчет участников НИР'!$T$10='Состав ВТК'!$I151),$E158,0),2),"-")</f>
        <v>0</v>
      </c>
      <c r="U158" s="298">
        <f>IFERROR(ROUND(IF(AND('Расчет участников НИР'!$A158='Состав ВТК'!$B151,'Расчет участников НИР'!$U$10='Состав ВТК'!$I151),$E158,0),2),"-")</f>
        <v>0</v>
      </c>
      <c r="V158" s="298">
        <f>IFERROR(ROUND(IF(AND('Расчет участников НИР'!$A158='Состав ВТК'!$B151,'Расчет участников НИР'!$V$10='Состав ВТК'!$I151),$E158,0),2),"-")</f>
        <v>0</v>
      </c>
      <c r="W158" s="301" t="str">
        <f t="shared" si="25"/>
        <v>-</v>
      </c>
      <c r="X158" s="301" t="str">
        <f t="shared" si="26"/>
        <v>-</v>
      </c>
      <c r="Y158" s="301" t="str">
        <f t="shared" si="27"/>
        <v>-</v>
      </c>
    </row>
    <row r="159" spans="1:25" x14ac:dyDescent="0.25">
      <c r="A159" s="217">
        <f>'Состав ВТК'!B152</f>
        <v>0</v>
      </c>
      <c r="B159" s="290">
        <f>IFERROR(VLOOKUP($A159,Распределение!$B$13:$L$113,11,FALSE),"-")</f>
        <v>0</v>
      </c>
      <c r="C159" s="291" t="str">
        <f>IFERROR(IF(VLOOKUP($B159,Расценка!$H$3:$I$9,2,FALSE)="НС",Расценка!$T$11,Расценка!$T$12),"-")</f>
        <v>-</v>
      </c>
      <c r="D159" s="291">
        <f>IFERROR(INDEX(Распределение!$1:$1048576,MATCH($A159,Распределение!$B:$B,0),MATCH($D$8,Распределение!$9:$9,0)),"---")</f>
        <v>0</v>
      </c>
      <c r="E159" s="292">
        <f>IFERROR(SUMIFS('Трудозатраты членов ВТК'!$G$17:$G$117,'Трудозатраты членов ВТК'!$D$17:$D$117,A:A),"-")</f>
        <v>0</v>
      </c>
      <c r="F159" s="293">
        <f>IFERROR(SUMIFS('Трудозатраты членов ВТК'!$F$464:$F$713,'Трудозатраты членов ВТК'!$D$464:$D$713,A:A),"-")</f>
        <v>0</v>
      </c>
      <c r="G159" s="302"/>
      <c r="H159" s="295">
        <f t="shared" si="21"/>
        <v>0</v>
      </c>
      <c r="I159" s="296">
        <f>IFERROR(ROUND(IF('Состав ВТК'!$K152=справочник!$A$5,IF(AND('Расчет участников НИР'!$A159='Состав ВТК'!$B152,$I$10='Состав ВТК'!$I152),$F159*$D159*VLOOKUP('Расчет участников НИР'!$B159,Расценка!$C$3:$E$13,3,FALSE),0),0),2),"-")</f>
        <v>0</v>
      </c>
      <c r="J159" s="296">
        <f>IFERROR(ROUND(IF('Состав ВТК'!$K152=справочник!$A$5,IF(AND('Расчет участников НИР'!$A159='Состав ВТК'!$B152,$J$10='Состав ВТК'!$I152),$F159*$D159*VLOOKUP('Расчет участников НИР'!$B159,Расценка!$C$3:$E$13,3,FALSE),0),0),2),"-")</f>
        <v>0</v>
      </c>
      <c r="K159" s="296">
        <f>IFERROR(ROUND(IF('Состав ВТК'!$K152=справочник!$A$5,IF(AND('Расчет участников НИР'!$A159='Состав ВТК'!$B152,$K$10='Состав ВТК'!$I152),$F159*$D159*VLOOKUP('Расчет участников НИР'!$B159,Расценка!$C$3:$E$13,3,FALSE),0),0),2),"-")</f>
        <v>0</v>
      </c>
      <c r="L159" s="297"/>
      <c r="M159" s="295">
        <f t="shared" si="22"/>
        <v>0</v>
      </c>
      <c r="N159" s="298">
        <f>IFERROR(ROUND(IF('Состав ВТК'!$K152=справочник!$A$5,(IF(AND($A159='Состав ВТК'!$B152,$N$10=$C159),$F159*$D159*VLOOKUP($B159,Расценка!$H$3:$K$9,4,FALSE),0)),0),2),"-")</f>
        <v>0</v>
      </c>
      <c r="O159" s="298">
        <f>IFERROR(ROUND(IF('Состав ВТК'!$K152=справочник!$A$5,(IF(AND($A159='Состав ВТК'!$B152,$O$10=$C159),$F159*$D159*VLOOKUP($B159,Расценка!$H$3:$K$9,4,FALSE),0)),0),2),"-")</f>
        <v>0</v>
      </c>
      <c r="P159" s="299">
        <f t="shared" si="23"/>
        <v>0</v>
      </c>
      <c r="Q159" s="300">
        <f t="shared" si="28"/>
        <v>0</v>
      </c>
      <c r="R159" s="300">
        <f t="shared" si="29"/>
        <v>0</v>
      </c>
      <c r="S159" s="295">
        <f t="shared" si="24"/>
        <v>0</v>
      </c>
      <c r="T159" s="298">
        <f>IFERROR(ROUND(IF(AND('Расчет участников НИР'!$A159='Состав ВТК'!$B152,'Расчет участников НИР'!$T$10='Состав ВТК'!$I152),$E159,0),2),"-")</f>
        <v>0</v>
      </c>
      <c r="U159" s="298">
        <f>IFERROR(ROUND(IF(AND('Расчет участников НИР'!$A159='Состав ВТК'!$B152,'Расчет участников НИР'!$U$10='Состав ВТК'!$I152),$E159,0),2),"-")</f>
        <v>0</v>
      </c>
      <c r="V159" s="298">
        <f>IFERROR(ROUND(IF(AND('Расчет участников НИР'!$A159='Состав ВТК'!$B152,'Расчет участников НИР'!$V$10='Состав ВТК'!$I152),$E159,0),2),"-")</f>
        <v>0</v>
      </c>
      <c r="W159" s="301" t="str">
        <f t="shared" si="25"/>
        <v>-</v>
      </c>
      <c r="X159" s="301" t="str">
        <f t="shared" si="26"/>
        <v>-</v>
      </c>
      <c r="Y159" s="301" t="str">
        <f t="shared" si="27"/>
        <v>-</v>
      </c>
    </row>
    <row r="160" spans="1:25" x14ac:dyDescent="0.25">
      <c r="A160" s="217">
        <f>'Состав ВТК'!B153</f>
        <v>0</v>
      </c>
      <c r="B160" s="290">
        <f>IFERROR(VLOOKUP($A160,Распределение!$B$13:$L$113,11,FALSE),"-")</f>
        <v>0</v>
      </c>
      <c r="C160" s="291" t="str">
        <f>IFERROR(IF(VLOOKUP($B160,Расценка!$H$3:$I$9,2,FALSE)="НС",Расценка!$T$11,Расценка!$T$12),"-")</f>
        <v>-</v>
      </c>
      <c r="D160" s="291">
        <f>IFERROR(INDEX(Распределение!$1:$1048576,MATCH($A160,Распределение!$B:$B,0),MATCH($D$8,Распределение!$9:$9,0)),"---")</f>
        <v>0</v>
      </c>
      <c r="E160" s="292">
        <f>IFERROR(SUMIFS('Трудозатраты членов ВТК'!$G$17:$G$117,'Трудозатраты членов ВТК'!$D$17:$D$117,A:A),"-")</f>
        <v>0</v>
      </c>
      <c r="F160" s="293">
        <f>IFERROR(SUMIFS('Трудозатраты членов ВТК'!$F$464:$F$713,'Трудозатраты членов ВТК'!$D$464:$D$713,A:A),"-")</f>
        <v>0</v>
      </c>
      <c r="G160" s="302"/>
      <c r="H160" s="295">
        <f t="shared" si="21"/>
        <v>0</v>
      </c>
      <c r="I160" s="296">
        <f>IFERROR(ROUND(IF('Состав ВТК'!$K153=справочник!$A$5,IF(AND('Расчет участников НИР'!$A160='Состав ВТК'!$B153,$I$10='Состав ВТК'!$I153),$F160*$D160*VLOOKUP('Расчет участников НИР'!$B160,Расценка!$C$3:$E$13,3,FALSE),0),0),2),"-")</f>
        <v>0</v>
      </c>
      <c r="J160" s="296">
        <f>IFERROR(ROUND(IF('Состав ВТК'!$K153=справочник!$A$5,IF(AND('Расчет участников НИР'!$A160='Состав ВТК'!$B153,$J$10='Состав ВТК'!$I153),$F160*$D160*VLOOKUP('Расчет участников НИР'!$B160,Расценка!$C$3:$E$13,3,FALSE),0),0),2),"-")</f>
        <v>0</v>
      </c>
      <c r="K160" s="296">
        <f>IFERROR(ROUND(IF('Состав ВТК'!$K153=справочник!$A$5,IF(AND('Расчет участников НИР'!$A160='Состав ВТК'!$B153,$K$10='Состав ВТК'!$I153),$F160*$D160*VLOOKUP('Расчет участников НИР'!$B160,Расценка!$C$3:$E$13,3,FALSE),0),0),2),"-")</f>
        <v>0</v>
      </c>
      <c r="L160" s="297"/>
      <c r="M160" s="295">
        <f t="shared" si="22"/>
        <v>0</v>
      </c>
      <c r="N160" s="298">
        <f>IFERROR(ROUND(IF('Состав ВТК'!$K153=справочник!$A$5,(IF(AND($A160='Состав ВТК'!$B153,$N$10=$C160),$F160*$D160*VLOOKUP($B160,Расценка!$H$3:$K$9,4,FALSE),0)),0),2),"-")</f>
        <v>0</v>
      </c>
      <c r="O160" s="298">
        <f>IFERROR(ROUND(IF('Состав ВТК'!$K153=справочник!$A$5,(IF(AND($A160='Состав ВТК'!$B153,$O$10=$C160),$F160*$D160*VLOOKUP($B160,Расценка!$H$3:$K$9,4,FALSE),0)),0),2),"-")</f>
        <v>0</v>
      </c>
      <c r="P160" s="299">
        <f t="shared" si="23"/>
        <v>0</v>
      </c>
      <c r="Q160" s="300">
        <f t="shared" si="28"/>
        <v>0</v>
      </c>
      <c r="R160" s="300">
        <f t="shared" si="29"/>
        <v>0</v>
      </c>
      <c r="S160" s="295">
        <f t="shared" si="24"/>
        <v>0</v>
      </c>
      <c r="T160" s="298">
        <f>IFERROR(ROUND(IF(AND('Расчет участников НИР'!$A160='Состав ВТК'!$B153,'Расчет участников НИР'!$T$10='Состав ВТК'!$I153),$E160,0),2),"-")</f>
        <v>0</v>
      </c>
      <c r="U160" s="298">
        <f>IFERROR(ROUND(IF(AND('Расчет участников НИР'!$A160='Состав ВТК'!$B153,'Расчет участников НИР'!$U$10='Состав ВТК'!$I153),$E160,0),2),"-")</f>
        <v>0</v>
      </c>
      <c r="V160" s="298">
        <f>IFERROR(ROUND(IF(AND('Расчет участников НИР'!$A160='Состав ВТК'!$B153,'Расчет участников НИР'!$V$10='Состав ВТК'!$I153),$E160,0),2),"-")</f>
        <v>0</v>
      </c>
      <c r="W160" s="301" t="str">
        <f t="shared" si="25"/>
        <v>-</v>
      </c>
      <c r="X160" s="301" t="str">
        <f t="shared" si="26"/>
        <v>-</v>
      </c>
      <c r="Y160" s="301" t="str">
        <f t="shared" si="27"/>
        <v>-</v>
      </c>
    </row>
    <row r="161" spans="1:25" x14ac:dyDescent="0.25">
      <c r="A161" s="217">
        <f>'Состав ВТК'!B154</f>
        <v>0</v>
      </c>
      <c r="B161" s="290">
        <f>IFERROR(VLOOKUP($A161,Распределение!$B$13:$L$113,11,FALSE),"-")</f>
        <v>0</v>
      </c>
      <c r="C161" s="291" t="str">
        <f>IFERROR(IF(VLOOKUP($B161,Расценка!$H$3:$I$9,2,FALSE)="НС",Расценка!$T$11,Расценка!$T$12),"-")</f>
        <v>-</v>
      </c>
      <c r="D161" s="291">
        <f>IFERROR(INDEX(Распределение!$1:$1048576,MATCH($A161,Распределение!$B:$B,0),MATCH($D$8,Распределение!$9:$9,0)),"---")</f>
        <v>0</v>
      </c>
      <c r="E161" s="292">
        <f>IFERROR(SUMIFS('Трудозатраты членов ВТК'!$G$17:$G$117,'Трудозатраты членов ВТК'!$D$17:$D$117,A:A),"-")</f>
        <v>0</v>
      </c>
      <c r="F161" s="293">
        <f>IFERROR(SUMIFS('Трудозатраты членов ВТК'!$F$464:$F$713,'Трудозатраты членов ВТК'!$D$464:$D$713,A:A),"-")</f>
        <v>0</v>
      </c>
      <c r="G161" s="302"/>
      <c r="H161" s="295">
        <f t="shared" si="21"/>
        <v>0</v>
      </c>
      <c r="I161" s="296">
        <f>IFERROR(ROUND(IF('Состав ВТК'!$K154=справочник!$A$5,IF(AND('Расчет участников НИР'!$A161='Состав ВТК'!$B154,$I$10='Состав ВТК'!$I154),$F161*$D161*VLOOKUP('Расчет участников НИР'!$B161,Расценка!$C$3:$E$13,3,FALSE),0),0),2),"-")</f>
        <v>0</v>
      </c>
      <c r="J161" s="296">
        <f>IFERROR(ROUND(IF('Состав ВТК'!$K154=справочник!$A$5,IF(AND('Расчет участников НИР'!$A161='Состав ВТК'!$B154,$J$10='Состав ВТК'!$I154),$F161*$D161*VLOOKUP('Расчет участников НИР'!$B161,Расценка!$C$3:$E$13,3,FALSE),0),0),2),"-")</f>
        <v>0</v>
      </c>
      <c r="K161" s="296">
        <f>IFERROR(ROUND(IF('Состав ВТК'!$K154=справочник!$A$5,IF(AND('Расчет участников НИР'!$A161='Состав ВТК'!$B154,$K$10='Состав ВТК'!$I154),$F161*$D161*VLOOKUP('Расчет участников НИР'!$B161,Расценка!$C$3:$E$13,3,FALSE),0),0),2),"-")</f>
        <v>0</v>
      </c>
      <c r="L161" s="297"/>
      <c r="M161" s="295">
        <f t="shared" si="22"/>
        <v>0</v>
      </c>
      <c r="N161" s="298">
        <f>IFERROR(ROUND(IF('Состав ВТК'!$K154=справочник!$A$5,(IF(AND($A161='Состав ВТК'!$B154,$N$10=$C161),$F161*$D161*VLOOKUP($B161,Расценка!$H$3:$K$9,4,FALSE),0)),0),2),"-")</f>
        <v>0</v>
      </c>
      <c r="O161" s="298">
        <f>IFERROR(ROUND(IF('Состав ВТК'!$K154=справочник!$A$5,(IF(AND($A161='Состав ВТК'!$B154,$O$10=$C161),$F161*$D161*VLOOKUP($B161,Расценка!$H$3:$K$9,4,FALSE),0)),0),2),"-")</f>
        <v>0</v>
      </c>
      <c r="P161" s="299">
        <f t="shared" si="23"/>
        <v>0</v>
      </c>
      <c r="Q161" s="300">
        <f t="shared" si="28"/>
        <v>0</v>
      </c>
      <c r="R161" s="300">
        <f t="shared" si="29"/>
        <v>0</v>
      </c>
      <c r="S161" s="295">
        <f t="shared" si="24"/>
        <v>0</v>
      </c>
      <c r="T161" s="298">
        <f>IFERROR(ROUND(IF(AND('Расчет участников НИР'!$A161='Состав ВТК'!$B154,'Расчет участников НИР'!$T$10='Состав ВТК'!$I154),$E161,0),2),"-")</f>
        <v>0</v>
      </c>
      <c r="U161" s="298">
        <f>IFERROR(ROUND(IF(AND('Расчет участников НИР'!$A161='Состав ВТК'!$B154,'Расчет участников НИР'!$U$10='Состав ВТК'!$I154),$E161,0),2),"-")</f>
        <v>0</v>
      </c>
      <c r="V161" s="298">
        <f>IFERROR(ROUND(IF(AND('Расчет участников НИР'!$A161='Состав ВТК'!$B154,'Расчет участников НИР'!$V$10='Состав ВТК'!$I154),$E161,0),2),"-")</f>
        <v>0</v>
      </c>
      <c r="W161" s="301" t="str">
        <f t="shared" si="25"/>
        <v>-</v>
      </c>
      <c r="X161" s="301" t="str">
        <f t="shared" si="26"/>
        <v>-</v>
      </c>
      <c r="Y161" s="301" t="str">
        <f t="shared" si="27"/>
        <v>-</v>
      </c>
    </row>
    <row r="162" spans="1:25" x14ac:dyDescent="0.25">
      <c r="A162" s="217">
        <f>'Состав ВТК'!B155</f>
        <v>0</v>
      </c>
      <c r="B162" s="290">
        <f>IFERROR(VLOOKUP($A162,Распределение!$B$13:$L$113,11,FALSE),"-")</f>
        <v>0</v>
      </c>
      <c r="C162" s="291" t="str">
        <f>IFERROR(IF(VLOOKUP($B162,Расценка!$H$3:$I$9,2,FALSE)="НС",Расценка!$T$11,Расценка!$T$12),"-")</f>
        <v>-</v>
      </c>
      <c r="D162" s="291">
        <f>IFERROR(INDEX(Распределение!$1:$1048576,MATCH($A162,Распределение!$B:$B,0),MATCH($D$8,Распределение!$9:$9,0)),"---")</f>
        <v>0</v>
      </c>
      <c r="E162" s="292">
        <f>IFERROR(SUMIFS('Трудозатраты членов ВТК'!$G$17:$G$117,'Трудозатраты членов ВТК'!$D$17:$D$117,A:A),"-")</f>
        <v>0</v>
      </c>
      <c r="F162" s="293">
        <f>IFERROR(SUMIFS('Трудозатраты членов ВТК'!$F$464:$F$713,'Трудозатраты членов ВТК'!$D$464:$D$713,A:A),"-")</f>
        <v>0</v>
      </c>
      <c r="G162" s="302"/>
      <c r="H162" s="295">
        <f t="shared" si="21"/>
        <v>0</v>
      </c>
      <c r="I162" s="296">
        <f>IFERROR(ROUND(IF('Состав ВТК'!$K155=справочник!$A$5,IF(AND('Расчет участников НИР'!$A162='Состав ВТК'!$B155,$I$10='Состав ВТК'!$I155),$F162*$D162*VLOOKUP('Расчет участников НИР'!$B162,Расценка!$C$3:$E$13,3,FALSE),0),0),2),"-")</f>
        <v>0</v>
      </c>
      <c r="J162" s="296">
        <f>IFERROR(ROUND(IF('Состав ВТК'!$K155=справочник!$A$5,IF(AND('Расчет участников НИР'!$A162='Состав ВТК'!$B155,$J$10='Состав ВТК'!$I155),$F162*$D162*VLOOKUP('Расчет участников НИР'!$B162,Расценка!$C$3:$E$13,3,FALSE),0),0),2),"-")</f>
        <v>0</v>
      </c>
      <c r="K162" s="296">
        <f>IFERROR(ROUND(IF('Состав ВТК'!$K155=справочник!$A$5,IF(AND('Расчет участников НИР'!$A162='Состав ВТК'!$B155,$K$10='Состав ВТК'!$I155),$F162*$D162*VLOOKUP('Расчет участников НИР'!$B162,Расценка!$C$3:$E$13,3,FALSE),0),0),2),"-")</f>
        <v>0</v>
      </c>
      <c r="L162" s="297"/>
      <c r="M162" s="295">
        <f t="shared" si="22"/>
        <v>0</v>
      </c>
      <c r="N162" s="298">
        <f>IFERROR(ROUND(IF('Состав ВТК'!$K155=справочник!$A$5,(IF(AND($A162='Состав ВТК'!$B155,$N$10=$C162),$F162*$D162*VLOOKUP($B162,Расценка!$H$3:$K$9,4,FALSE),0)),0),2),"-")</f>
        <v>0</v>
      </c>
      <c r="O162" s="298">
        <f>IFERROR(ROUND(IF('Состав ВТК'!$K155=справочник!$A$5,(IF(AND($A162='Состав ВТК'!$B155,$O$10=$C162),$F162*$D162*VLOOKUP($B162,Расценка!$H$3:$K$9,4,FALSE),0)),0),2),"-")</f>
        <v>0</v>
      </c>
      <c r="P162" s="299">
        <f t="shared" si="23"/>
        <v>0</v>
      </c>
      <c r="Q162" s="300">
        <f t="shared" si="28"/>
        <v>0</v>
      </c>
      <c r="R162" s="300">
        <f t="shared" si="29"/>
        <v>0</v>
      </c>
      <c r="S162" s="295">
        <f t="shared" si="24"/>
        <v>0</v>
      </c>
      <c r="T162" s="298">
        <f>IFERROR(ROUND(IF(AND('Расчет участников НИР'!$A162='Состав ВТК'!$B155,'Расчет участников НИР'!$T$10='Состав ВТК'!$I155),$E162,0),2),"-")</f>
        <v>0</v>
      </c>
      <c r="U162" s="298">
        <f>IFERROR(ROUND(IF(AND('Расчет участников НИР'!$A162='Состав ВТК'!$B155,'Расчет участников НИР'!$U$10='Состав ВТК'!$I155),$E162,0),2),"-")</f>
        <v>0</v>
      </c>
      <c r="V162" s="298">
        <f>IFERROR(ROUND(IF(AND('Расчет участников НИР'!$A162='Состав ВТК'!$B155,'Расчет участников НИР'!$V$10='Состав ВТК'!$I155),$E162,0),2),"-")</f>
        <v>0</v>
      </c>
      <c r="W162" s="301" t="str">
        <f t="shared" si="25"/>
        <v>-</v>
      </c>
      <c r="X162" s="301" t="str">
        <f t="shared" si="26"/>
        <v>-</v>
      </c>
      <c r="Y162" s="301" t="str">
        <f t="shared" si="27"/>
        <v>-</v>
      </c>
    </row>
    <row r="163" spans="1:25" x14ac:dyDescent="0.25">
      <c r="A163" s="217">
        <f>'Состав ВТК'!B156</f>
        <v>0</v>
      </c>
      <c r="B163" s="290">
        <f>IFERROR(VLOOKUP($A163,Распределение!$B$13:$L$113,11,FALSE),"-")</f>
        <v>0</v>
      </c>
      <c r="C163" s="291" t="str">
        <f>IFERROR(IF(VLOOKUP($B163,Расценка!$H$3:$I$9,2,FALSE)="НС",Расценка!$T$11,Расценка!$T$12),"-")</f>
        <v>-</v>
      </c>
      <c r="D163" s="291">
        <f>IFERROR(INDEX(Распределение!$1:$1048576,MATCH($A163,Распределение!$B:$B,0),MATCH($D$8,Распределение!$9:$9,0)),"---")</f>
        <v>0</v>
      </c>
      <c r="E163" s="292">
        <f>IFERROR(SUMIFS('Трудозатраты членов ВТК'!$G$17:$G$117,'Трудозатраты членов ВТК'!$D$17:$D$117,A:A),"-")</f>
        <v>0</v>
      </c>
      <c r="F163" s="293">
        <f>IFERROR(SUMIFS('Трудозатраты членов ВТК'!$F$464:$F$713,'Трудозатраты членов ВТК'!$D$464:$D$713,A:A),"-")</f>
        <v>0</v>
      </c>
      <c r="G163" s="302"/>
      <c r="H163" s="295">
        <f t="shared" si="21"/>
        <v>0</v>
      </c>
      <c r="I163" s="296">
        <f>IFERROR(ROUND(IF('Состав ВТК'!$K156=справочник!$A$5,IF(AND('Расчет участников НИР'!$A163='Состав ВТК'!$B156,$I$10='Состав ВТК'!$I156),$F163*$D163*VLOOKUP('Расчет участников НИР'!$B163,Расценка!$C$3:$E$13,3,FALSE),0),0),2),"-")</f>
        <v>0</v>
      </c>
      <c r="J163" s="296">
        <f>IFERROR(ROUND(IF('Состав ВТК'!$K156=справочник!$A$5,IF(AND('Расчет участников НИР'!$A163='Состав ВТК'!$B156,$J$10='Состав ВТК'!$I156),$F163*$D163*VLOOKUP('Расчет участников НИР'!$B163,Расценка!$C$3:$E$13,3,FALSE),0),0),2),"-")</f>
        <v>0</v>
      </c>
      <c r="K163" s="296">
        <f>IFERROR(ROUND(IF('Состав ВТК'!$K156=справочник!$A$5,IF(AND('Расчет участников НИР'!$A163='Состав ВТК'!$B156,$K$10='Состав ВТК'!$I156),$F163*$D163*VLOOKUP('Расчет участников НИР'!$B163,Расценка!$C$3:$E$13,3,FALSE),0),0),2),"-")</f>
        <v>0</v>
      </c>
      <c r="L163" s="297"/>
      <c r="M163" s="295">
        <f t="shared" si="22"/>
        <v>0</v>
      </c>
      <c r="N163" s="298">
        <f>IFERROR(ROUND(IF('Состав ВТК'!$K156=справочник!$A$5,(IF(AND($A163='Состав ВТК'!$B156,$N$10=$C163),$F163*$D163*VLOOKUP($B163,Расценка!$H$3:$K$9,4,FALSE),0)),0),2),"-")</f>
        <v>0</v>
      </c>
      <c r="O163" s="298">
        <f>IFERROR(ROUND(IF('Состав ВТК'!$K156=справочник!$A$5,(IF(AND($A163='Состав ВТК'!$B156,$O$10=$C163),$F163*$D163*VLOOKUP($B163,Расценка!$H$3:$K$9,4,FALSE),0)),0),2),"-")</f>
        <v>0</v>
      </c>
      <c r="P163" s="299">
        <f t="shared" si="23"/>
        <v>0</v>
      </c>
      <c r="Q163" s="300">
        <f t="shared" si="28"/>
        <v>0</v>
      </c>
      <c r="R163" s="300">
        <f t="shared" si="29"/>
        <v>0</v>
      </c>
      <c r="S163" s="295">
        <f t="shared" si="24"/>
        <v>0</v>
      </c>
      <c r="T163" s="298">
        <f>IFERROR(ROUND(IF(AND('Расчет участников НИР'!$A163='Состав ВТК'!$B156,'Расчет участников НИР'!$T$10='Состав ВТК'!$I156),$E163,0),2),"-")</f>
        <v>0</v>
      </c>
      <c r="U163" s="298">
        <f>IFERROR(ROUND(IF(AND('Расчет участников НИР'!$A163='Состав ВТК'!$B156,'Расчет участников НИР'!$U$10='Состав ВТК'!$I156),$E163,0),2),"-")</f>
        <v>0</v>
      </c>
      <c r="V163" s="298">
        <f>IFERROR(ROUND(IF(AND('Расчет участников НИР'!$A163='Состав ВТК'!$B156,'Расчет участников НИР'!$V$10='Состав ВТК'!$I156),$E163,0),2),"-")</f>
        <v>0</v>
      </c>
      <c r="W163" s="301" t="str">
        <f t="shared" si="25"/>
        <v>-</v>
      </c>
      <c r="X163" s="301" t="str">
        <f t="shared" si="26"/>
        <v>-</v>
      </c>
      <c r="Y163" s="301" t="str">
        <f t="shared" si="27"/>
        <v>-</v>
      </c>
    </row>
    <row r="164" spans="1:25" x14ac:dyDescent="0.25">
      <c r="A164" s="217">
        <f>'Состав ВТК'!B157</f>
        <v>0</v>
      </c>
      <c r="B164" s="290">
        <f>IFERROR(VLOOKUP($A164,Распределение!$B$13:$L$113,11,FALSE),"-")</f>
        <v>0</v>
      </c>
      <c r="C164" s="291" t="str">
        <f>IFERROR(IF(VLOOKUP($B164,Расценка!$H$3:$I$9,2,FALSE)="НС",Расценка!$T$11,Расценка!$T$12),"-")</f>
        <v>-</v>
      </c>
      <c r="D164" s="291">
        <f>IFERROR(INDEX(Распределение!$1:$1048576,MATCH($A164,Распределение!$B:$B,0),MATCH($D$8,Распределение!$9:$9,0)),"---")</f>
        <v>0</v>
      </c>
      <c r="E164" s="292">
        <f>IFERROR(SUMIFS('Трудозатраты членов ВТК'!$G$17:$G$117,'Трудозатраты членов ВТК'!$D$17:$D$117,A:A),"-")</f>
        <v>0</v>
      </c>
      <c r="F164" s="293">
        <f>IFERROR(SUMIFS('Трудозатраты членов ВТК'!$F$464:$F$713,'Трудозатраты членов ВТК'!$D$464:$D$713,A:A),"-")</f>
        <v>0</v>
      </c>
      <c r="G164" s="302"/>
      <c r="H164" s="295">
        <f t="shared" si="21"/>
        <v>0</v>
      </c>
      <c r="I164" s="296">
        <f>IFERROR(ROUND(IF('Состав ВТК'!$K157=справочник!$A$5,IF(AND('Расчет участников НИР'!$A164='Состав ВТК'!$B157,$I$10='Состав ВТК'!$I157),$F164*$D164*VLOOKUP('Расчет участников НИР'!$B164,Расценка!$C$3:$E$13,3,FALSE),0),0),2),"-")</f>
        <v>0</v>
      </c>
      <c r="J164" s="296">
        <f>IFERROR(ROUND(IF('Состав ВТК'!$K157=справочник!$A$5,IF(AND('Расчет участников НИР'!$A164='Состав ВТК'!$B157,$J$10='Состав ВТК'!$I157),$F164*$D164*VLOOKUP('Расчет участников НИР'!$B164,Расценка!$C$3:$E$13,3,FALSE),0),0),2),"-")</f>
        <v>0</v>
      </c>
      <c r="K164" s="296">
        <f>IFERROR(ROUND(IF('Состав ВТК'!$K157=справочник!$A$5,IF(AND('Расчет участников НИР'!$A164='Состав ВТК'!$B157,$K$10='Состав ВТК'!$I157),$F164*$D164*VLOOKUP('Расчет участников НИР'!$B164,Расценка!$C$3:$E$13,3,FALSE),0),0),2),"-")</f>
        <v>0</v>
      </c>
      <c r="L164" s="297"/>
      <c r="M164" s="295">
        <f t="shared" si="22"/>
        <v>0</v>
      </c>
      <c r="N164" s="298">
        <f>IFERROR(ROUND(IF('Состав ВТК'!$K157=справочник!$A$5,(IF(AND($A164='Состав ВТК'!$B157,$N$10=$C164),$F164*$D164*VLOOKUP($B164,Расценка!$H$3:$K$9,4,FALSE),0)),0),2),"-")</f>
        <v>0</v>
      </c>
      <c r="O164" s="298">
        <f>IFERROR(ROUND(IF('Состав ВТК'!$K157=справочник!$A$5,(IF(AND($A164='Состав ВТК'!$B157,$O$10=$C164),$F164*$D164*VLOOKUP($B164,Расценка!$H$3:$K$9,4,FALSE),0)),0),2),"-")</f>
        <v>0</v>
      </c>
      <c r="P164" s="299">
        <f t="shared" si="23"/>
        <v>0</v>
      </c>
      <c r="Q164" s="300">
        <f t="shared" si="28"/>
        <v>0</v>
      </c>
      <c r="R164" s="300">
        <f t="shared" si="29"/>
        <v>0</v>
      </c>
      <c r="S164" s="295">
        <f t="shared" si="24"/>
        <v>0</v>
      </c>
      <c r="T164" s="298">
        <f>IFERROR(ROUND(IF(AND('Расчет участников НИР'!$A164='Состав ВТК'!$B157,'Расчет участников НИР'!$T$10='Состав ВТК'!$I157),$E164,0),2),"-")</f>
        <v>0</v>
      </c>
      <c r="U164" s="298">
        <f>IFERROR(ROUND(IF(AND('Расчет участников НИР'!$A164='Состав ВТК'!$B157,'Расчет участников НИР'!$U$10='Состав ВТК'!$I157),$E164,0),2),"-")</f>
        <v>0</v>
      </c>
      <c r="V164" s="298">
        <f>IFERROR(ROUND(IF(AND('Расчет участников НИР'!$A164='Состав ВТК'!$B157,'Расчет участников НИР'!$V$10='Состав ВТК'!$I157),$E164,0),2),"-")</f>
        <v>0</v>
      </c>
      <c r="W164" s="301" t="str">
        <f t="shared" si="25"/>
        <v>-</v>
      </c>
      <c r="X164" s="301" t="str">
        <f t="shared" si="26"/>
        <v>-</v>
      </c>
      <c r="Y164" s="301" t="str">
        <f t="shared" si="27"/>
        <v>-</v>
      </c>
    </row>
    <row r="165" spans="1:25" x14ac:dyDescent="0.25">
      <c r="A165" s="217">
        <f>'Состав ВТК'!B158</f>
        <v>0</v>
      </c>
      <c r="B165" s="290">
        <f>IFERROR(VLOOKUP($A165,Распределение!$B$13:$L$113,11,FALSE),"-")</f>
        <v>0</v>
      </c>
      <c r="C165" s="291" t="str">
        <f>IFERROR(IF(VLOOKUP($B165,Расценка!$H$3:$I$9,2,FALSE)="НС",Расценка!$T$11,Расценка!$T$12),"-")</f>
        <v>-</v>
      </c>
      <c r="D165" s="291">
        <f>IFERROR(INDEX(Распределение!$1:$1048576,MATCH($A165,Распределение!$B:$B,0),MATCH($D$8,Распределение!$9:$9,0)),"---")</f>
        <v>0</v>
      </c>
      <c r="E165" s="292">
        <f>IFERROR(SUMIFS('Трудозатраты членов ВТК'!$G$17:$G$117,'Трудозатраты членов ВТК'!$D$17:$D$117,A:A),"-")</f>
        <v>0</v>
      </c>
      <c r="F165" s="293">
        <f>IFERROR(SUMIFS('Трудозатраты членов ВТК'!$F$464:$F$713,'Трудозатраты членов ВТК'!$D$464:$D$713,A:A),"-")</f>
        <v>0</v>
      </c>
      <c r="G165" s="302"/>
      <c r="H165" s="295">
        <f t="shared" si="21"/>
        <v>0</v>
      </c>
      <c r="I165" s="296">
        <f>IFERROR(ROUND(IF('Состав ВТК'!$K158=справочник!$A$5,IF(AND('Расчет участников НИР'!$A165='Состав ВТК'!$B158,$I$10='Состав ВТК'!$I158),$F165*$D165*VLOOKUP('Расчет участников НИР'!$B165,Расценка!$C$3:$E$13,3,FALSE),0),0),2),"-")</f>
        <v>0</v>
      </c>
      <c r="J165" s="296">
        <f>IFERROR(ROUND(IF('Состав ВТК'!$K158=справочник!$A$5,IF(AND('Расчет участников НИР'!$A165='Состав ВТК'!$B158,$J$10='Состав ВТК'!$I158),$F165*$D165*VLOOKUP('Расчет участников НИР'!$B165,Расценка!$C$3:$E$13,3,FALSE),0),0),2),"-")</f>
        <v>0</v>
      </c>
      <c r="K165" s="296">
        <f>IFERROR(ROUND(IF('Состав ВТК'!$K158=справочник!$A$5,IF(AND('Расчет участников НИР'!$A165='Состав ВТК'!$B158,$K$10='Состав ВТК'!$I158),$F165*$D165*VLOOKUP('Расчет участников НИР'!$B165,Расценка!$C$3:$E$13,3,FALSE),0),0),2),"-")</f>
        <v>0</v>
      </c>
      <c r="L165" s="297"/>
      <c r="M165" s="295">
        <f t="shared" si="22"/>
        <v>0</v>
      </c>
      <c r="N165" s="298">
        <f>IFERROR(ROUND(IF('Состав ВТК'!$K158=справочник!$A$5,(IF(AND($A165='Состав ВТК'!$B158,$N$10=$C165),$F165*$D165*VLOOKUP($B165,Расценка!$H$3:$K$9,4,FALSE),0)),0),2),"-")</f>
        <v>0</v>
      </c>
      <c r="O165" s="298">
        <f>IFERROR(ROUND(IF('Состав ВТК'!$K158=справочник!$A$5,(IF(AND($A165='Состав ВТК'!$B158,$O$10=$C165),$F165*$D165*VLOOKUP($B165,Расценка!$H$3:$K$9,4,FALSE),0)),0),2),"-")</f>
        <v>0</v>
      </c>
      <c r="P165" s="299">
        <f t="shared" si="23"/>
        <v>0</v>
      </c>
      <c r="Q165" s="300">
        <f t="shared" si="28"/>
        <v>0</v>
      </c>
      <c r="R165" s="300">
        <f t="shared" si="29"/>
        <v>0</v>
      </c>
      <c r="S165" s="295">
        <f t="shared" si="24"/>
        <v>0</v>
      </c>
      <c r="T165" s="298">
        <f>IFERROR(ROUND(IF(AND('Расчет участников НИР'!$A165='Состав ВТК'!$B158,'Расчет участников НИР'!$T$10='Состав ВТК'!$I158),$E165,0),2),"-")</f>
        <v>0</v>
      </c>
      <c r="U165" s="298">
        <f>IFERROR(ROUND(IF(AND('Расчет участников НИР'!$A165='Состав ВТК'!$B158,'Расчет участников НИР'!$U$10='Состав ВТК'!$I158),$E165,0),2),"-")</f>
        <v>0</v>
      </c>
      <c r="V165" s="298">
        <f>IFERROR(ROUND(IF(AND('Расчет участников НИР'!$A165='Состав ВТК'!$B158,'Расчет участников НИР'!$V$10='Состав ВТК'!$I158),$E165,0),2),"-")</f>
        <v>0</v>
      </c>
      <c r="W165" s="301" t="str">
        <f t="shared" si="25"/>
        <v>-</v>
      </c>
      <c r="X165" s="301" t="str">
        <f t="shared" si="26"/>
        <v>-</v>
      </c>
      <c r="Y165" s="301" t="str">
        <f t="shared" si="27"/>
        <v>-</v>
      </c>
    </row>
    <row r="166" spans="1:25" x14ac:dyDescent="0.25">
      <c r="A166" s="217">
        <f>'Состав ВТК'!B159</f>
        <v>0</v>
      </c>
      <c r="B166" s="290">
        <f>IFERROR(VLOOKUP($A166,Распределение!$B$13:$L$113,11,FALSE),"-")</f>
        <v>0</v>
      </c>
      <c r="C166" s="291" t="str">
        <f>IFERROR(IF(VLOOKUP($B166,Расценка!$H$3:$I$9,2,FALSE)="НС",Расценка!$T$11,Расценка!$T$12),"-")</f>
        <v>-</v>
      </c>
      <c r="D166" s="291">
        <f>IFERROR(INDEX(Распределение!$1:$1048576,MATCH($A166,Распределение!$B:$B,0),MATCH($D$8,Распределение!$9:$9,0)),"---")</f>
        <v>0</v>
      </c>
      <c r="E166" s="292">
        <f>IFERROR(SUMIFS('Трудозатраты членов ВТК'!$G$17:$G$117,'Трудозатраты членов ВТК'!$D$17:$D$117,A:A),"-")</f>
        <v>0</v>
      </c>
      <c r="F166" s="293">
        <f>IFERROR(SUMIFS('Трудозатраты членов ВТК'!$F$464:$F$713,'Трудозатраты членов ВТК'!$D$464:$D$713,A:A),"-")</f>
        <v>0</v>
      </c>
      <c r="G166" s="302"/>
      <c r="H166" s="295">
        <f t="shared" si="21"/>
        <v>0</v>
      </c>
      <c r="I166" s="296">
        <f>IFERROR(ROUND(IF('Состав ВТК'!$K159=справочник!$A$5,IF(AND('Расчет участников НИР'!$A166='Состав ВТК'!$B159,$I$10='Состав ВТК'!$I159),$F166*$D166*VLOOKUP('Расчет участников НИР'!$B166,Расценка!$C$3:$E$13,3,FALSE),0),0),2),"-")</f>
        <v>0</v>
      </c>
      <c r="J166" s="296">
        <f>IFERROR(ROUND(IF('Состав ВТК'!$K159=справочник!$A$5,IF(AND('Расчет участников НИР'!$A166='Состав ВТК'!$B159,$J$10='Состав ВТК'!$I159),$F166*$D166*VLOOKUP('Расчет участников НИР'!$B166,Расценка!$C$3:$E$13,3,FALSE),0),0),2),"-")</f>
        <v>0</v>
      </c>
      <c r="K166" s="296">
        <f>IFERROR(ROUND(IF('Состав ВТК'!$K159=справочник!$A$5,IF(AND('Расчет участников НИР'!$A166='Состав ВТК'!$B159,$K$10='Состав ВТК'!$I159),$F166*$D166*VLOOKUP('Расчет участников НИР'!$B166,Расценка!$C$3:$E$13,3,FALSE),0),0),2),"-")</f>
        <v>0</v>
      </c>
      <c r="L166" s="297"/>
      <c r="M166" s="295">
        <f t="shared" si="22"/>
        <v>0</v>
      </c>
      <c r="N166" s="298">
        <f>IFERROR(ROUND(IF('Состав ВТК'!$K159=справочник!$A$5,(IF(AND($A166='Состав ВТК'!$B159,$N$10=$C166),$F166*$D166*VLOOKUP($B166,Расценка!$H$3:$K$9,4,FALSE),0)),0),2),"-")</f>
        <v>0</v>
      </c>
      <c r="O166" s="298">
        <f>IFERROR(ROUND(IF('Состав ВТК'!$K159=справочник!$A$5,(IF(AND($A166='Состав ВТК'!$B159,$O$10=$C166),$F166*$D166*VLOOKUP($B166,Расценка!$H$3:$K$9,4,FALSE),0)),0),2),"-")</f>
        <v>0</v>
      </c>
      <c r="P166" s="299">
        <f t="shared" si="23"/>
        <v>0</v>
      </c>
      <c r="Q166" s="300">
        <f t="shared" si="28"/>
        <v>0</v>
      </c>
      <c r="R166" s="300">
        <f t="shared" si="29"/>
        <v>0</v>
      </c>
      <c r="S166" s="295">
        <f t="shared" si="24"/>
        <v>0</v>
      </c>
      <c r="T166" s="298">
        <f>IFERROR(ROUND(IF(AND('Расчет участников НИР'!$A166='Состав ВТК'!$B159,'Расчет участников НИР'!$T$10='Состав ВТК'!$I159),$E166,0),2),"-")</f>
        <v>0</v>
      </c>
      <c r="U166" s="298">
        <f>IFERROR(ROUND(IF(AND('Расчет участников НИР'!$A166='Состав ВТК'!$B159,'Расчет участников НИР'!$U$10='Состав ВТК'!$I159),$E166,0),2),"-")</f>
        <v>0</v>
      </c>
      <c r="V166" s="298">
        <f>IFERROR(ROUND(IF(AND('Расчет участников НИР'!$A166='Состав ВТК'!$B159,'Расчет участников НИР'!$V$10='Состав ВТК'!$I159),$E166,0),2),"-")</f>
        <v>0</v>
      </c>
      <c r="W166" s="301" t="str">
        <f t="shared" si="25"/>
        <v>-</v>
      </c>
      <c r="X166" s="301" t="str">
        <f t="shared" si="26"/>
        <v>-</v>
      </c>
      <c r="Y166" s="301" t="str">
        <f t="shared" si="27"/>
        <v>-</v>
      </c>
    </row>
    <row r="167" spans="1:25" x14ac:dyDescent="0.25">
      <c r="A167" s="217">
        <f>'Состав ВТК'!B160</f>
        <v>0</v>
      </c>
      <c r="B167" s="290">
        <f>IFERROR(VLOOKUP($A167,Распределение!$B$13:$L$113,11,FALSE),"-")</f>
        <v>0</v>
      </c>
      <c r="C167" s="291" t="str">
        <f>IFERROR(IF(VLOOKUP($B167,Расценка!$H$3:$I$9,2,FALSE)="НС",Расценка!$T$11,Расценка!$T$12),"-")</f>
        <v>-</v>
      </c>
      <c r="D167" s="291">
        <f>IFERROR(INDEX(Распределение!$1:$1048576,MATCH($A167,Распределение!$B:$B,0),MATCH($D$8,Распределение!$9:$9,0)),"---")</f>
        <v>0</v>
      </c>
      <c r="E167" s="292">
        <f>IFERROR(SUMIFS('Трудозатраты членов ВТК'!$G$17:$G$117,'Трудозатраты членов ВТК'!$D$17:$D$117,A:A),"-")</f>
        <v>0</v>
      </c>
      <c r="F167" s="293">
        <f>IFERROR(SUMIFS('Трудозатраты членов ВТК'!$F$464:$F$713,'Трудозатраты членов ВТК'!$D$464:$D$713,A:A),"-")</f>
        <v>0</v>
      </c>
      <c r="G167" s="302"/>
      <c r="H167" s="295">
        <f t="shared" si="21"/>
        <v>0</v>
      </c>
      <c r="I167" s="296">
        <f>IFERROR(ROUND(IF('Состав ВТК'!$K160=справочник!$A$5,IF(AND('Расчет участников НИР'!$A167='Состав ВТК'!$B160,$I$10='Состав ВТК'!$I160),$F167*$D167*VLOOKUP('Расчет участников НИР'!$B167,Расценка!$C$3:$E$13,3,FALSE),0),0),2),"-")</f>
        <v>0</v>
      </c>
      <c r="J167" s="296">
        <f>IFERROR(ROUND(IF('Состав ВТК'!$K160=справочник!$A$5,IF(AND('Расчет участников НИР'!$A167='Состав ВТК'!$B160,$J$10='Состав ВТК'!$I160),$F167*$D167*VLOOKUP('Расчет участников НИР'!$B167,Расценка!$C$3:$E$13,3,FALSE),0),0),2),"-")</f>
        <v>0</v>
      </c>
      <c r="K167" s="296">
        <f>IFERROR(ROUND(IF('Состав ВТК'!$K160=справочник!$A$5,IF(AND('Расчет участников НИР'!$A167='Состав ВТК'!$B160,$K$10='Состав ВТК'!$I160),$F167*$D167*VLOOKUP('Расчет участников НИР'!$B167,Расценка!$C$3:$E$13,3,FALSE),0),0),2),"-")</f>
        <v>0</v>
      </c>
      <c r="L167" s="297"/>
      <c r="M167" s="295">
        <f t="shared" si="22"/>
        <v>0</v>
      </c>
      <c r="N167" s="298">
        <f>IFERROR(ROUND(IF('Состав ВТК'!$K160=справочник!$A$5,(IF(AND($A167='Состав ВТК'!$B160,$N$10=$C167),$F167*$D167*VLOOKUP($B167,Расценка!$H$3:$K$9,4,FALSE),0)),0),2),"-")</f>
        <v>0</v>
      </c>
      <c r="O167" s="298">
        <f>IFERROR(ROUND(IF('Состав ВТК'!$K160=справочник!$A$5,(IF(AND($A167='Состав ВТК'!$B160,$O$10=$C167),$F167*$D167*VLOOKUP($B167,Расценка!$H$3:$K$9,4,FALSE),0)),0),2),"-")</f>
        <v>0</v>
      </c>
      <c r="P167" s="299">
        <f t="shared" si="23"/>
        <v>0</v>
      </c>
      <c r="Q167" s="300">
        <f t="shared" si="28"/>
        <v>0</v>
      </c>
      <c r="R167" s="300">
        <f t="shared" si="29"/>
        <v>0</v>
      </c>
      <c r="S167" s="295">
        <f t="shared" si="24"/>
        <v>0</v>
      </c>
      <c r="T167" s="298">
        <f>IFERROR(ROUND(IF(AND('Расчет участников НИР'!$A167='Состав ВТК'!$B160,'Расчет участников НИР'!$T$10='Состав ВТК'!$I160),$E167,0),2),"-")</f>
        <v>0</v>
      </c>
      <c r="U167" s="298">
        <f>IFERROR(ROUND(IF(AND('Расчет участников НИР'!$A167='Состав ВТК'!$B160,'Расчет участников НИР'!$U$10='Состав ВТК'!$I160),$E167,0),2),"-")</f>
        <v>0</v>
      </c>
      <c r="V167" s="298">
        <f>IFERROR(ROUND(IF(AND('Расчет участников НИР'!$A167='Состав ВТК'!$B160,'Расчет участников НИР'!$V$10='Состав ВТК'!$I160),$E167,0),2),"-")</f>
        <v>0</v>
      </c>
      <c r="W167" s="301" t="str">
        <f t="shared" si="25"/>
        <v>-</v>
      </c>
      <c r="X167" s="301" t="str">
        <f t="shared" si="26"/>
        <v>-</v>
      </c>
      <c r="Y167" s="301" t="str">
        <f t="shared" si="27"/>
        <v>-</v>
      </c>
    </row>
    <row r="168" spans="1:25" x14ac:dyDescent="0.25">
      <c r="A168" s="217">
        <f>'Состав ВТК'!B161</f>
        <v>0</v>
      </c>
      <c r="B168" s="290">
        <f>IFERROR(VLOOKUP($A168,Распределение!$B$13:$L$113,11,FALSE),"-")</f>
        <v>0</v>
      </c>
      <c r="C168" s="291" t="str">
        <f>IFERROR(IF(VLOOKUP($B168,Расценка!$H$3:$I$9,2,FALSE)="НС",Расценка!$T$11,Расценка!$T$12),"-")</f>
        <v>-</v>
      </c>
      <c r="D168" s="291">
        <f>IFERROR(INDEX(Распределение!$1:$1048576,MATCH($A168,Распределение!$B:$B,0),MATCH($D$8,Распределение!$9:$9,0)),"---")</f>
        <v>0</v>
      </c>
      <c r="E168" s="292">
        <f>IFERROR(SUMIFS('Трудозатраты членов ВТК'!$G$17:$G$117,'Трудозатраты членов ВТК'!$D$17:$D$117,A:A),"-")</f>
        <v>0</v>
      </c>
      <c r="F168" s="293">
        <f>IFERROR(SUMIFS('Трудозатраты членов ВТК'!$F$464:$F$713,'Трудозатраты членов ВТК'!$D$464:$D$713,A:A),"-")</f>
        <v>0</v>
      </c>
      <c r="G168" s="302"/>
      <c r="H168" s="295">
        <f t="shared" si="21"/>
        <v>0</v>
      </c>
      <c r="I168" s="296">
        <f>IFERROR(ROUND(IF('Состав ВТК'!$K161=справочник!$A$5,IF(AND('Расчет участников НИР'!$A168='Состав ВТК'!$B161,$I$10='Состав ВТК'!$I161),$F168*$D168*VLOOKUP('Расчет участников НИР'!$B168,Расценка!$C$3:$E$13,3,FALSE),0),0),2),"-")</f>
        <v>0</v>
      </c>
      <c r="J168" s="296">
        <f>IFERROR(ROUND(IF('Состав ВТК'!$K161=справочник!$A$5,IF(AND('Расчет участников НИР'!$A168='Состав ВТК'!$B161,$J$10='Состав ВТК'!$I161),$F168*$D168*VLOOKUP('Расчет участников НИР'!$B168,Расценка!$C$3:$E$13,3,FALSE),0),0),2),"-")</f>
        <v>0</v>
      </c>
      <c r="K168" s="296">
        <f>IFERROR(ROUND(IF('Состав ВТК'!$K161=справочник!$A$5,IF(AND('Расчет участников НИР'!$A168='Состав ВТК'!$B161,$K$10='Состав ВТК'!$I161),$F168*$D168*VLOOKUP('Расчет участников НИР'!$B168,Расценка!$C$3:$E$13,3,FALSE),0),0),2),"-")</f>
        <v>0</v>
      </c>
      <c r="L168" s="297"/>
      <c r="M168" s="295">
        <f t="shared" si="22"/>
        <v>0</v>
      </c>
      <c r="N168" s="298">
        <f>IFERROR(ROUND(IF('Состав ВТК'!$K161=справочник!$A$5,(IF(AND($A168='Состав ВТК'!$B161,$N$10=$C168),$F168*$D168*VLOOKUP($B168,Расценка!$H$3:$K$9,4,FALSE),0)),0),2),"-")</f>
        <v>0</v>
      </c>
      <c r="O168" s="298">
        <f>IFERROR(ROUND(IF('Состав ВТК'!$K161=справочник!$A$5,(IF(AND($A168='Состав ВТК'!$B161,$O$10=$C168),$F168*$D168*VLOOKUP($B168,Расценка!$H$3:$K$9,4,FALSE),0)),0),2),"-")</f>
        <v>0</v>
      </c>
      <c r="P168" s="299">
        <f t="shared" si="23"/>
        <v>0</v>
      </c>
      <c r="Q168" s="300">
        <f t="shared" si="28"/>
        <v>0</v>
      </c>
      <c r="R168" s="300">
        <f t="shared" si="29"/>
        <v>0</v>
      </c>
      <c r="S168" s="295">
        <f t="shared" si="24"/>
        <v>0</v>
      </c>
      <c r="T168" s="298">
        <f>IFERROR(ROUND(IF(AND('Расчет участников НИР'!$A168='Состав ВТК'!$B161,'Расчет участников НИР'!$T$10='Состав ВТК'!$I161),$E168,0),2),"-")</f>
        <v>0</v>
      </c>
      <c r="U168" s="298">
        <f>IFERROR(ROUND(IF(AND('Расчет участников НИР'!$A168='Состав ВТК'!$B161,'Расчет участников НИР'!$U$10='Состав ВТК'!$I161),$E168,0),2),"-")</f>
        <v>0</v>
      </c>
      <c r="V168" s="298">
        <f>IFERROR(ROUND(IF(AND('Расчет участников НИР'!$A168='Состав ВТК'!$B161,'Расчет участников НИР'!$V$10='Состав ВТК'!$I161),$E168,0),2),"-")</f>
        <v>0</v>
      </c>
      <c r="W168" s="301" t="str">
        <f t="shared" si="25"/>
        <v>-</v>
      </c>
      <c r="X168" s="301" t="str">
        <f t="shared" si="26"/>
        <v>-</v>
      </c>
      <c r="Y168" s="301" t="str">
        <f t="shared" si="27"/>
        <v>-</v>
      </c>
    </row>
    <row r="169" spans="1:25" x14ac:dyDescent="0.25">
      <c r="A169" s="217">
        <f>'Состав ВТК'!B162</f>
        <v>0</v>
      </c>
      <c r="B169" s="290">
        <f>IFERROR(VLOOKUP($A169,Распределение!$B$13:$L$113,11,FALSE),"-")</f>
        <v>0</v>
      </c>
      <c r="C169" s="291" t="str">
        <f>IFERROR(IF(VLOOKUP($B169,Расценка!$H$3:$I$9,2,FALSE)="НС",Расценка!$T$11,Расценка!$T$12),"-")</f>
        <v>-</v>
      </c>
      <c r="D169" s="291">
        <f>IFERROR(INDEX(Распределение!$1:$1048576,MATCH($A169,Распределение!$B:$B,0),MATCH($D$8,Распределение!$9:$9,0)),"---")</f>
        <v>0</v>
      </c>
      <c r="E169" s="292">
        <f>IFERROR(SUMIFS('Трудозатраты членов ВТК'!$G$17:$G$117,'Трудозатраты членов ВТК'!$D$17:$D$117,A:A),"-")</f>
        <v>0</v>
      </c>
      <c r="F169" s="293">
        <f>IFERROR(SUMIFS('Трудозатраты членов ВТК'!$F$464:$F$713,'Трудозатраты членов ВТК'!$D$464:$D$713,A:A),"-")</f>
        <v>0</v>
      </c>
      <c r="G169" s="302"/>
      <c r="H169" s="295">
        <f t="shared" si="21"/>
        <v>0</v>
      </c>
      <c r="I169" s="296">
        <f>IFERROR(ROUND(IF('Состав ВТК'!$K162=справочник!$A$5,IF(AND('Расчет участников НИР'!$A169='Состав ВТК'!$B162,$I$10='Состав ВТК'!$I162),$F169*$D169*VLOOKUP('Расчет участников НИР'!$B169,Расценка!$C$3:$E$13,3,FALSE),0),0),2),"-")</f>
        <v>0</v>
      </c>
      <c r="J169" s="296">
        <f>IFERROR(ROUND(IF('Состав ВТК'!$K162=справочник!$A$5,IF(AND('Расчет участников НИР'!$A169='Состав ВТК'!$B162,$J$10='Состав ВТК'!$I162),$F169*$D169*VLOOKUP('Расчет участников НИР'!$B169,Расценка!$C$3:$E$13,3,FALSE),0),0),2),"-")</f>
        <v>0</v>
      </c>
      <c r="K169" s="296">
        <f>IFERROR(ROUND(IF('Состав ВТК'!$K162=справочник!$A$5,IF(AND('Расчет участников НИР'!$A169='Состав ВТК'!$B162,$K$10='Состав ВТК'!$I162),$F169*$D169*VLOOKUP('Расчет участников НИР'!$B169,Расценка!$C$3:$E$13,3,FALSE),0),0),2),"-")</f>
        <v>0</v>
      </c>
      <c r="L169" s="297"/>
      <c r="M169" s="295">
        <f t="shared" si="22"/>
        <v>0</v>
      </c>
      <c r="N169" s="298">
        <f>IFERROR(ROUND(IF('Состав ВТК'!$K162=справочник!$A$5,(IF(AND($A169='Состав ВТК'!$B162,$N$10=$C169),$F169*$D169*VLOOKUP($B169,Расценка!$H$3:$K$9,4,FALSE),0)),0),2),"-")</f>
        <v>0</v>
      </c>
      <c r="O169" s="298">
        <f>IFERROR(ROUND(IF('Состав ВТК'!$K162=справочник!$A$5,(IF(AND($A169='Состав ВТК'!$B162,$O$10=$C169),$F169*$D169*VLOOKUP($B169,Расценка!$H$3:$K$9,4,FALSE),0)),0),2),"-")</f>
        <v>0</v>
      </c>
      <c r="P169" s="299">
        <f t="shared" si="23"/>
        <v>0</v>
      </c>
      <c r="Q169" s="300">
        <f t="shared" si="28"/>
        <v>0</v>
      </c>
      <c r="R169" s="300">
        <f t="shared" si="29"/>
        <v>0</v>
      </c>
      <c r="S169" s="295">
        <f t="shared" si="24"/>
        <v>0</v>
      </c>
      <c r="T169" s="298">
        <f>IFERROR(ROUND(IF(AND('Расчет участников НИР'!$A169='Состав ВТК'!$B162,'Расчет участников НИР'!$T$10='Состав ВТК'!$I162),$E169,0),2),"-")</f>
        <v>0</v>
      </c>
      <c r="U169" s="298">
        <f>IFERROR(ROUND(IF(AND('Расчет участников НИР'!$A169='Состав ВТК'!$B162,'Расчет участников НИР'!$U$10='Состав ВТК'!$I162),$E169,0),2),"-")</f>
        <v>0</v>
      </c>
      <c r="V169" s="298">
        <f>IFERROR(ROUND(IF(AND('Расчет участников НИР'!$A169='Состав ВТК'!$B162,'Расчет участников НИР'!$V$10='Состав ВТК'!$I162),$E169,0),2),"-")</f>
        <v>0</v>
      </c>
      <c r="W169" s="301" t="str">
        <f t="shared" si="25"/>
        <v>-</v>
      </c>
      <c r="X169" s="301" t="str">
        <f t="shared" si="26"/>
        <v>-</v>
      </c>
      <c r="Y169" s="301" t="str">
        <f t="shared" si="27"/>
        <v>-</v>
      </c>
    </row>
    <row r="170" spans="1:25" x14ac:dyDescent="0.25">
      <c r="A170" s="217">
        <f>'Состав ВТК'!B163</f>
        <v>0</v>
      </c>
      <c r="B170" s="290">
        <f>IFERROR(VLOOKUP($A170,Распределение!$B$13:$L$113,11,FALSE),"-")</f>
        <v>0</v>
      </c>
      <c r="C170" s="291" t="str">
        <f>IFERROR(IF(VLOOKUP($B170,Расценка!$H$3:$I$9,2,FALSE)="НС",Расценка!$T$11,Расценка!$T$12),"-")</f>
        <v>-</v>
      </c>
      <c r="D170" s="291">
        <f>IFERROR(INDEX(Распределение!$1:$1048576,MATCH($A170,Распределение!$B:$B,0),MATCH($D$8,Распределение!$9:$9,0)),"---")</f>
        <v>0</v>
      </c>
      <c r="E170" s="292">
        <f>IFERROR(SUMIFS('Трудозатраты членов ВТК'!$G$17:$G$117,'Трудозатраты членов ВТК'!$D$17:$D$117,A:A),"-")</f>
        <v>0</v>
      </c>
      <c r="F170" s="293">
        <f>IFERROR(SUMIFS('Трудозатраты членов ВТК'!$F$464:$F$713,'Трудозатраты членов ВТК'!$D$464:$D$713,A:A),"-")</f>
        <v>0</v>
      </c>
      <c r="G170" s="302"/>
      <c r="H170" s="295">
        <f t="shared" si="21"/>
        <v>0</v>
      </c>
      <c r="I170" s="296">
        <f>IFERROR(ROUND(IF('Состав ВТК'!$K163=справочник!$A$5,IF(AND('Расчет участников НИР'!$A170='Состав ВТК'!$B163,$I$10='Состав ВТК'!$I163),$F170*$D170*VLOOKUP('Расчет участников НИР'!$B170,Расценка!$C$3:$E$13,3,FALSE),0),0),2),"-")</f>
        <v>0</v>
      </c>
      <c r="J170" s="296">
        <f>IFERROR(ROUND(IF('Состав ВТК'!$K163=справочник!$A$5,IF(AND('Расчет участников НИР'!$A170='Состав ВТК'!$B163,$J$10='Состав ВТК'!$I163),$F170*$D170*VLOOKUP('Расчет участников НИР'!$B170,Расценка!$C$3:$E$13,3,FALSE),0),0),2),"-")</f>
        <v>0</v>
      </c>
      <c r="K170" s="296">
        <f>IFERROR(ROUND(IF('Состав ВТК'!$K163=справочник!$A$5,IF(AND('Расчет участников НИР'!$A170='Состав ВТК'!$B163,$K$10='Состав ВТК'!$I163),$F170*$D170*VLOOKUP('Расчет участников НИР'!$B170,Расценка!$C$3:$E$13,3,FALSE),0),0),2),"-")</f>
        <v>0</v>
      </c>
      <c r="L170" s="297"/>
      <c r="M170" s="295">
        <f t="shared" si="22"/>
        <v>0</v>
      </c>
      <c r="N170" s="298">
        <f>IFERROR(ROUND(IF('Состав ВТК'!$K163=справочник!$A$5,(IF(AND($A170='Состав ВТК'!$B163,$N$10=$C170),$F170*$D170*VLOOKUP($B170,Расценка!$H$3:$K$9,4,FALSE),0)),0),2),"-")</f>
        <v>0</v>
      </c>
      <c r="O170" s="298">
        <f>IFERROR(ROUND(IF('Состав ВТК'!$K163=справочник!$A$5,(IF(AND($A170='Состав ВТК'!$B163,$O$10=$C170),$F170*$D170*VLOOKUP($B170,Расценка!$H$3:$K$9,4,FALSE),0)),0),2),"-")</f>
        <v>0</v>
      </c>
      <c r="P170" s="299">
        <f t="shared" si="23"/>
        <v>0</v>
      </c>
      <c r="Q170" s="300">
        <f t="shared" si="28"/>
        <v>0</v>
      </c>
      <c r="R170" s="300">
        <f t="shared" si="29"/>
        <v>0</v>
      </c>
      <c r="S170" s="295">
        <f t="shared" si="24"/>
        <v>0</v>
      </c>
      <c r="T170" s="298">
        <f>IFERROR(ROUND(IF(AND('Расчет участников НИР'!$A170='Состав ВТК'!$B163,'Расчет участников НИР'!$T$10='Состав ВТК'!$I163),$E170,0),2),"-")</f>
        <v>0</v>
      </c>
      <c r="U170" s="298">
        <f>IFERROR(ROUND(IF(AND('Расчет участников НИР'!$A170='Состав ВТК'!$B163,'Расчет участников НИР'!$U$10='Состав ВТК'!$I163),$E170,0),2),"-")</f>
        <v>0</v>
      </c>
      <c r="V170" s="298">
        <f>IFERROR(ROUND(IF(AND('Расчет участников НИР'!$A170='Состав ВТК'!$B163,'Расчет участников НИР'!$V$10='Состав ВТК'!$I163),$E170,0),2),"-")</f>
        <v>0</v>
      </c>
      <c r="W170" s="301" t="str">
        <f t="shared" si="25"/>
        <v>-</v>
      </c>
      <c r="X170" s="301" t="str">
        <f t="shared" si="26"/>
        <v>-</v>
      </c>
      <c r="Y170" s="301" t="str">
        <f t="shared" si="27"/>
        <v>-</v>
      </c>
    </row>
    <row r="171" spans="1:25" x14ac:dyDescent="0.25">
      <c r="A171" s="217">
        <f>'Состав ВТК'!B164</f>
        <v>0</v>
      </c>
      <c r="B171" s="290">
        <f>IFERROR(VLOOKUP($A171,Распределение!$B$13:$L$113,11,FALSE),"-")</f>
        <v>0</v>
      </c>
      <c r="C171" s="291" t="str">
        <f>IFERROR(IF(VLOOKUP($B171,Расценка!$H$3:$I$9,2,FALSE)="НС",Расценка!$T$11,Расценка!$T$12),"-")</f>
        <v>-</v>
      </c>
      <c r="D171" s="291">
        <f>IFERROR(INDEX(Распределение!$1:$1048576,MATCH($A171,Распределение!$B:$B,0),MATCH($D$8,Распределение!$9:$9,0)),"---")</f>
        <v>0</v>
      </c>
      <c r="E171" s="292">
        <f>IFERROR(SUMIFS('Трудозатраты членов ВТК'!$G$17:$G$117,'Трудозатраты членов ВТК'!$D$17:$D$117,A:A),"-")</f>
        <v>0</v>
      </c>
      <c r="F171" s="293">
        <f>IFERROR(SUMIFS('Трудозатраты членов ВТК'!$F$464:$F$713,'Трудозатраты членов ВТК'!$D$464:$D$713,A:A),"-")</f>
        <v>0</v>
      </c>
      <c r="G171" s="302"/>
      <c r="H171" s="295">
        <f t="shared" si="21"/>
        <v>0</v>
      </c>
      <c r="I171" s="296">
        <f>IFERROR(ROUND(IF('Состав ВТК'!$K164=справочник!$A$5,IF(AND('Расчет участников НИР'!$A171='Состав ВТК'!$B164,$I$10='Состав ВТК'!$I164),$F171*$D171*VLOOKUP('Расчет участников НИР'!$B171,Расценка!$C$3:$E$13,3,FALSE),0),0),2),"-")</f>
        <v>0</v>
      </c>
      <c r="J171" s="296">
        <f>IFERROR(ROUND(IF('Состав ВТК'!$K164=справочник!$A$5,IF(AND('Расчет участников НИР'!$A171='Состав ВТК'!$B164,$J$10='Состав ВТК'!$I164),$F171*$D171*VLOOKUP('Расчет участников НИР'!$B171,Расценка!$C$3:$E$13,3,FALSE),0),0),2),"-")</f>
        <v>0</v>
      </c>
      <c r="K171" s="296">
        <f>IFERROR(ROUND(IF('Состав ВТК'!$K164=справочник!$A$5,IF(AND('Расчет участников НИР'!$A171='Состав ВТК'!$B164,$K$10='Состав ВТК'!$I164),$F171*$D171*VLOOKUP('Расчет участников НИР'!$B171,Расценка!$C$3:$E$13,3,FALSE),0),0),2),"-")</f>
        <v>0</v>
      </c>
      <c r="L171" s="297"/>
      <c r="M171" s="295">
        <f t="shared" si="22"/>
        <v>0</v>
      </c>
      <c r="N171" s="298">
        <f>IFERROR(ROUND(IF('Состав ВТК'!$K164=справочник!$A$5,(IF(AND($A171='Состав ВТК'!$B164,$N$10=$C171),$F171*$D171*VLOOKUP($B171,Расценка!$H$3:$K$9,4,FALSE),0)),0),2),"-")</f>
        <v>0</v>
      </c>
      <c r="O171" s="298">
        <f>IFERROR(ROUND(IF('Состав ВТК'!$K164=справочник!$A$5,(IF(AND($A171='Состав ВТК'!$B164,$O$10=$C171),$F171*$D171*VLOOKUP($B171,Расценка!$H$3:$K$9,4,FALSE),0)),0),2),"-")</f>
        <v>0</v>
      </c>
      <c r="P171" s="299">
        <f t="shared" si="23"/>
        <v>0</v>
      </c>
      <c r="Q171" s="300">
        <f t="shared" si="28"/>
        <v>0</v>
      </c>
      <c r="R171" s="300">
        <f t="shared" si="29"/>
        <v>0</v>
      </c>
      <c r="S171" s="295">
        <f t="shared" si="24"/>
        <v>0</v>
      </c>
      <c r="T171" s="298">
        <f>IFERROR(ROUND(IF(AND('Расчет участников НИР'!$A171='Состав ВТК'!$B164,'Расчет участников НИР'!$T$10='Состав ВТК'!$I164),$E171,0),2),"-")</f>
        <v>0</v>
      </c>
      <c r="U171" s="298">
        <f>IFERROR(ROUND(IF(AND('Расчет участников НИР'!$A171='Состав ВТК'!$B164,'Расчет участников НИР'!$U$10='Состав ВТК'!$I164),$E171,0),2),"-")</f>
        <v>0</v>
      </c>
      <c r="V171" s="298">
        <f>IFERROR(ROUND(IF(AND('Расчет участников НИР'!$A171='Состав ВТК'!$B164,'Расчет участников НИР'!$V$10='Состав ВТК'!$I164),$E171,0),2),"-")</f>
        <v>0</v>
      </c>
      <c r="W171" s="301" t="str">
        <f t="shared" si="25"/>
        <v>-</v>
      </c>
      <c r="X171" s="301" t="str">
        <f t="shared" si="26"/>
        <v>-</v>
      </c>
      <c r="Y171" s="301" t="str">
        <f t="shared" si="27"/>
        <v>-</v>
      </c>
    </row>
    <row r="172" spans="1:25" x14ac:dyDescent="0.25">
      <c r="A172" s="217">
        <f>'Состав ВТК'!B165</f>
        <v>0</v>
      </c>
      <c r="B172" s="290">
        <f>IFERROR(VLOOKUP($A172,Распределение!$B$13:$L$113,11,FALSE),"-")</f>
        <v>0</v>
      </c>
      <c r="C172" s="291" t="str">
        <f>IFERROR(IF(VLOOKUP($B172,Расценка!$H$3:$I$9,2,FALSE)="НС",Расценка!$T$11,Расценка!$T$12),"-")</f>
        <v>-</v>
      </c>
      <c r="D172" s="291">
        <f>IFERROR(INDEX(Распределение!$1:$1048576,MATCH($A172,Распределение!$B:$B,0),MATCH($D$8,Распределение!$9:$9,0)),"---")</f>
        <v>0</v>
      </c>
      <c r="E172" s="292">
        <f>IFERROR(SUMIFS('Трудозатраты членов ВТК'!$G$17:$G$117,'Трудозатраты членов ВТК'!$D$17:$D$117,A:A),"-")</f>
        <v>0</v>
      </c>
      <c r="F172" s="293">
        <f>IFERROR(SUMIFS('Трудозатраты членов ВТК'!$F$464:$F$713,'Трудозатраты членов ВТК'!$D$464:$D$713,A:A),"-")</f>
        <v>0</v>
      </c>
      <c r="G172" s="302"/>
      <c r="H172" s="295">
        <f t="shared" si="21"/>
        <v>0</v>
      </c>
      <c r="I172" s="296">
        <f>IFERROR(ROUND(IF('Состав ВТК'!$K165=справочник!$A$5,IF(AND('Расчет участников НИР'!$A172='Состав ВТК'!$B165,$I$10='Состав ВТК'!$I165),$F172*$D172*VLOOKUP('Расчет участников НИР'!$B172,Расценка!$C$3:$E$13,3,FALSE),0),0),2),"-")</f>
        <v>0</v>
      </c>
      <c r="J172" s="296">
        <f>IFERROR(ROUND(IF('Состав ВТК'!$K165=справочник!$A$5,IF(AND('Расчет участников НИР'!$A172='Состав ВТК'!$B165,$J$10='Состав ВТК'!$I165),$F172*$D172*VLOOKUP('Расчет участников НИР'!$B172,Расценка!$C$3:$E$13,3,FALSE),0),0),2),"-")</f>
        <v>0</v>
      </c>
      <c r="K172" s="296">
        <f>IFERROR(ROUND(IF('Состав ВТК'!$K165=справочник!$A$5,IF(AND('Расчет участников НИР'!$A172='Состав ВТК'!$B165,$K$10='Состав ВТК'!$I165),$F172*$D172*VLOOKUP('Расчет участников НИР'!$B172,Расценка!$C$3:$E$13,3,FALSE),0),0),2),"-")</f>
        <v>0</v>
      </c>
      <c r="L172" s="297"/>
      <c r="M172" s="295">
        <f t="shared" si="22"/>
        <v>0</v>
      </c>
      <c r="N172" s="298">
        <f>IFERROR(ROUND(IF('Состав ВТК'!$K165=справочник!$A$5,(IF(AND($A172='Состав ВТК'!$B165,$N$10=$C172),$F172*$D172*VLOOKUP($B172,Расценка!$H$3:$K$9,4,FALSE),0)),0),2),"-")</f>
        <v>0</v>
      </c>
      <c r="O172" s="298">
        <f>IFERROR(ROUND(IF('Состав ВТК'!$K165=справочник!$A$5,(IF(AND($A172='Состав ВТК'!$B165,$O$10=$C172),$F172*$D172*VLOOKUP($B172,Расценка!$H$3:$K$9,4,FALSE),0)),0),2),"-")</f>
        <v>0</v>
      </c>
      <c r="P172" s="299">
        <f t="shared" si="23"/>
        <v>0</v>
      </c>
      <c r="Q172" s="300">
        <f t="shared" si="28"/>
        <v>0</v>
      </c>
      <c r="R172" s="300">
        <f t="shared" si="29"/>
        <v>0</v>
      </c>
      <c r="S172" s="295">
        <f t="shared" si="24"/>
        <v>0</v>
      </c>
      <c r="T172" s="298">
        <f>IFERROR(ROUND(IF(AND('Расчет участников НИР'!$A172='Состав ВТК'!$B165,'Расчет участников НИР'!$T$10='Состав ВТК'!$I165),$E172,0),2),"-")</f>
        <v>0</v>
      </c>
      <c r="U172" s="298">
        <f>IFERROR(ROUND(IF(AND('Расчет участников НИР'!$A172='Состав ВТК'!$B165,'Расчет участников НИР'!$U$10='Состав ВТК'!$I165),$E172,0),2),"-")</f>
        <v>0</v>
      </c>
      <c r="V172" s="298">
        <f>IFERROR(ROUND(IF(AND('Расчет участников НИР'!$A172='Состав ВТК'!$B165,'Расчет участников НИР'!$V$10='Состав ВТК'!$I165),$E172,0),2),"-")</f>
        <v>0</v>
      </c>
      <c r="W172" s="301" t="str">
        <f t="shared" si="25"/>
        <v>-</v>
      </c>
      <c r="X172" s="301" t="str">
        <f t="shared" si="26"/>
        <v>-</v>
      </c>
      <c r="Y172" s="301" t="str">
        <f t="shared" si="27"/>
        <v>-</v>
      </c>
    </row>
    <row r="173" spans="1:25" x14ac:dyDescent="0.25">
      <c r="A173" s="217">
        <f>'Состав ВТК'!B166</f>
        <v>0</v>
      </c>
      <c r="B173" s="290">
        <f>IFERROR(VLOOKUP($A173,Распределение!$B$13:$L$113,11,FALSE),"-")</f>
        <v>0</v>
      </c>
      <c r="C173" s="291" t="str">
        <f>IFERROR(IF(VLOOKUP($B173,Расценка!$H$3:$I$9,2,FALSE)="НС",Расценка!$T$11,Расценка!$T$12),"-")</f>
        <v>-</v>
      </c>
      <c r="D173" s="291">
        <f>IFERROR(INDEX(Распределение!$1:$1048576,MATCH($A173,Распределение!$B:$B,0),MATCH($D$8,Распределение!$9:$9,0)),"---")</f>
        <v>0</v>
      </c>
      <c r="E173" s="292">
        <f>IFERROR(SUMIFS('Трудозатраты членов ВТК'!$G$17:$G$117,'Трудозатраты членов ВТК'!$D$17:$D$117,A:A),"-")</f>
        <v>0</v>
      </c>
      <c r="F173" s="293">
        <f>IFERROR(SUMIFS('Трудозатраты членов ВТК'!$F$464:$F$713,'Трудозатраты членов ВТК'!$D$464:$D$713,A:A),"-")</f>
        <v>0</v>
      </c>
      <c r="G173" s="302"/>
      <c r="H173" s="295">
        <f t="shared" si="21"/>
        <v>0</v>
      </c>
      <c r="I173" s="296">
        <f>IFERROR(ROUND(IF('Состав ВТК'!$K166=справочник!$A$5,IF(AND('Расчет участников НИР'!$A173='Состав ВТК'!$B166,$I$10='Состав ВТК'!$I166),$F173*$D173*VLOOKUP('Расчет участников НИР'!$B173,Расценка!$C$3:$E$13,3,FALSE),0),0),2),"-")</f>
        <v>0</v>
      </c>
      <c r="J173" s="296">
        <f>IFERROR(ROUND(IF('Состав ВТК'!$K166=справочник!$A$5,IF(AND('Расчет участников НИР'!$A173='Состав ВТК'!$B166,$J$10='Состав ВТК'!$I166),$F173*$D173*VLOOKUP('Расчет участников НИР'!$B173,Расценка!$C$3:$E$13,3,FALSE),0),0),2),"-")</f>
        <v>0</v>
      </c>
      <c r="K173" s="296">
        <f>IFERROR(ROUND(IF('Состав ВТК'!$K166=справочник!$A$5,IF(AND('Расчет участников НИР'!$A173='Состав ВТК'!$B166,$K$10='Состав ВТК'!$I166),$F173*$D173*VLOOKUP('Расчет участников НИР'!$B173,Расценка!$C$3:$E$13,3,FALSE),0),0),2),"-")</f>
        <v>0</v>
      </c>
      <c r="L173" s="297"/>
      <c r="M173" s="295">
        <f t="shared" si="22"/>
        <v>0</v>
      </c>
      <c r="N173" s="298">
        <f>IFERROR(ROUND(IF('Состав ВТК'!$K166=справочник!$A$5,(IF(AND($A173='Состав ВТК'!$B166,$N$10=$C173),$F173*$D173*VLOOKUP($B173,Расценка!$H$3:$K$9,4,FALSE),0)),0),2),"-")</f>
        <v>0</v>
      </c>
      <c r="O173" s="298">
        <f>IFERROR(ROUND(IF('Состав ВТК'!$K166=справочник!$A$5,(IF(AND($A173='Состав ВТК'!$B166,$O$10=$C173),$F173*$D173*VLOOKUP($B173,Расценка!$H$3:$K$9,4,FALSE),0)),0),2),"-")</f>
        <v>0</v>
      </c>
      <c r="P173" s="299">
        <f t="shared" si="23"/>
        <v>0</v>
      </c>
      <c r="Q173" s="300">
        <f t="shared" si="28"/>
        <v>0</v>
      </c>
      <c r="R173" s="300">
        <f t="shared" si="29"/>
        <v>0</v>
      </c>
      <c r="S173" s="295">
        <f t="shared" si="24"/>
        <v>0</v>
      </c>
      <c r="T173" s="298">
        <f>IFERROR(ROUND(IF(AND('Расчет участников НИР'!$A173='Состав ВТК'!$B166,'Расчет участников НИР'!$T$10='Состав ВТК'!$I166),$E173,0),2),"-")</f>
        <v>0</v>
      </c>
      <c r="U173" s="298">
        <f>IFERROR(ROUND(IF(AND('Расчет участников НИР'!$A173='Состав ВТК'!$B166,'Расчет участников НИР'!$U$10='Состав ВТК'!$I166),$E173,0),2),"-")</f>
        <v>0</v>
      </c>
      <c r="V173" s="298">
        <f>IFERROR(ROUND(IF(AND('Расчет участников НИР'!$A173='Состав ВТК'!$B166,'Расчет участников НИР'!$V$10='Состав ВТК'!$I166),$E173,0),2),"-")</f>
        <v>0</v>
      </c>
      <c r="W173" s="301" t="str">
        <f t="shared" si="25"/>
        <v>-</v>
      </c>
      <c r="X173" s="301" t="str">
        <f t="shared" si="26"/>
        <v>-</v>
      </c>
      <c r="Y173" s="301" t="str">
        <f t="shared" si="27"/>
        <v>-</v>
      </c>
    </row>
    <row r="174" spans="1:25" x14ac:dyDescent="0.25">
      <c r="A174" s="217">
        <f>'Состав ВТК'!B167</f>
        <v>0</v>
      </c>
      <c r="B174" s="290">
        <f>IFERROR(VLOOKUP($A174,Распределение!$B$13:$L$113,11,FALSE),"-")</f>
        <v>0</v>
      </c>
      <c r="C174" s="291" t="str">
        <f>IFERROR(IF(VLOOKUP($B174,Расценка!$H$3:$I$9,2,FALSE)="НС",Расценка!$T$11,Расценка!$T$12),"-")</f>
        <v>-</v>
      </c>
      <c r="D174" s="291">
        <f>IFERROR(INDEX(Распределение!$1:$1048576,MATCH($A174,Распределение!$B:$B,0),MATCH($D$8,Распределение!$9:$9,0)),"---")</f>
        <v>0</v>
      </c>
      <c r="E174" s="292">
        <f>IFERROR(SUMIFS('Трудозатраты членов ВТК'!$G$17:$G$117,'Трудозатраты членов ВТК'!$D$17:$D$117,A:A),"-")</f>
        <v>0</v>
      </c>
      <c r="F174" s="293">
        <f>IFERROR(SUMIFS('Трудозатраты членов ВТК'!$F$464:$F$713,'Трудозатраты членов ВТК'!$D$464:$D$713,A:A),"-")</f>
        <v>0</v>
      </c>
      <c r="G174" s="302"/>
      <c r="H174" s="295">
        <f t="shared" si="21"/>
        <v>0</v>
      </c>
      <c r="I174" s="296">
        <f>IFERROR(ROUND(IF('Состав ВТК'!$K167=справочник!$A$5,IF(AND('Расчет участников НИР'!$A174='Состав ВТК'!$B167,$I$10='Состав ВТК'!$I167),$F174*$D174*VLOOKUP('Расчет участников НИР'!$B174,Расценка!$C$3:$E$13,3,FALSE),0),0),2),"-")</f>
        <v>0</v>
      </c>
      <c r="J174" s="296">
        <f>IFERROR(ROUND(IF('Состав ВТК'!$K167=справочник!$A$5,IF(AND('Расчет участников НИР'!$A174='Состав ВТК'!$B167,$J$10='Состав ВТК'!$I167),$F174*$D174*VLOOKUP('Расчет участников НИР'!$B174,Расценка!$C$3:$E$13,3,FALSE),0),0),2),"-")</f>
        <v>0</v>
      </c>
      <c r="K174" s="296">
        <f>IFERROR(ROUND(IF('Состав ВТК'!$K167=справочник!$A$5,IF(AND('Расчет участников НИР'!$A174='Состав ВТК'!$B167,$K$10='Состав ВТК'!$I167),$F174*$D174*VLOOKUP('Расчет участников НИР'!$B174,Расценка!$C$3:$E$13,3,FALSE),0),0),2),"-")</f>
        <v>0</v>
      </c>
      <c r="L174" s="297"/>
      <c r="M174" s="295">
        <f t="shared" si="22"/>
        <v>0</v>
      </c>
      <c r="N174" s="298">
        <f>IFERROR(ROUND(IF('Состав ВТК'!$K167=справочник!$A$5,(IF(AND($A174='Состав ВТК'!$B167,$N$10=$C174),$F174*$D174*VLOOKUP($B174,Расценка!$H$3:$K$9,4,FALSE),0)),0),2),"-")</f>
        <v>0</v>
      </c>
      <c r="O174" s="298">
        <f>IFERROR(ROUND(IF('Состав ВТК'!$K167=справочник!$A$5,(IF(AND($A174='Состав ВТК'!$B167,$O$10=$C174),$F174*$D174*VLOOKUP($B174,Расценка!$H$3:$K$9,4,FALSE),0)),0),2),"-")</f>
        <v>0</v>
      </c>
      <c r="P174" s="299">
        <f t="shared" si="23"/>
        <v>0</v>
      </c>
      <c r="Q174" s="300">
        <f t="shared" si="28"/>
        <v>0</v>
      </c>
      <c r="R174" s="300">
        <f t="shared" si="29"/>
        <v>0</v>
      </c>
      <c r="S174" s="295">
        <f t="shared" si="24"/>
        <v>0</v>
      </c>
      <c r="T174" s="298">
        <f>IFERROR(ROUND(IF(AND('Расчет участников НИР'!$A174='Состав ВТК'!$B167,'Расчет участников НИР'!$T$10='Состав ВТК'!$I167),$E174,0),2),"-")</f>
        <v>0</v>
      </c>
      <c r="U174" s="298">
        <f>IFERROR(ROUND(IF(AND('Расчет участников НИР'!$A174='Состав ВТК'!$B167,'Расчет участников НИР'!$U$10='Состав ВТК'!$I167),$E174,0),2),"-")</f>
        <v>0</v>
      </c>
      <c r="V174" s="298">
        <f>IFERROR(ROUND(IF(AND('Расчет участников НИР'!$A174='Состав ВТК'!$B167,'Расчет участников НИР'!$V$10='Состав ВТК'!$I167),$E174,0),2),"-")</f>
        <v>0</v>
      </c>
      <c r="W174" s="301" t="str">
        <f t="shared" si="25"/>
        <v>-</v>
      </c>
      <c r="X174" s="301" t="str">
        <f t="shared" si="26"/>
        <v>-</v>
      </c>
      <c r="Y174" s="301" t="str">
        <f t="shared" si="27"/>
        <v>-</v>
      </c>
    </row>
    <row r="175" spans="1:25" x14ac:dyDescent="0.25">
      <c r="A175" s="217">
        <f>'Состав ВТК'!B168</f>
        <v>0</v>
      </c>
      <c r="B175" s="290">
        <f>IFERROR(VLOOKUP($A175,Распределение!$B$13:$L$113,11,FALSE),"-")</f>
        <v>0</v>
      </c>
      <c r="C175" s="291" t="str">
        <f>IFERROR(IF(VLOOKUP($B175,Расценка!$H$3:$I$9,2,FALSE)="НС",Расценка!$T$11,Расценка!$T$12),"-")</f>
        <v>-</v>
      </c>
      <c r="D175" s="291">
        <f>IFERROR(INDEX(Распределение!$1:$1048576,MATCH($A175,Распределение!$B:$B,0),MATCH($D$8,Распределение!$9:$9,0)),"---")</f>
        <v>0</v>
      </c>
      <c r="E175" s="292">
        <f>IFERROR(SUMIFS('Трудозатраты членов ВТК'!$G$17:$G$117,'Трудозатраты членов ВТК'!$D$17:$D$117,A:A),"-")</f>
        <v>0</v>
      </c>
      <c r="F175" s="293">
        <f>IFERROR(SUMIFS('Трудозатраты членов ВТК'!$F$464:$F$713,'Трудозатраты членов ВТК'!$D$464:$D$713,A:A),"-")</f>
        <v>0</v>
      </c>
      <c r="G175" s="302"/>
      <c r="H175" s="295">
        <f t="shared" ref="H175:H238" si="30">SUM(I175:K175)</f>
        <v>0</v>
      </c>
      <c r="I175" s="296">
        <f>IFERROR(ROUND(IF('Состав ВТК'!$K168=справочник!$A$5,IF(AND('Расчет участников НИР'!$A175='Состав ВТК'!$B168,$I$10='Состав ВТК'!$I168),$F175*$D175*VLOOKUP('Расчет участников НИР'!$B175,Расценка!$C$3:$E$13,3,FALSE),0),0),2),"-")</f>
        <v>0</v>
      </c>
      <c r="J175" s="296">
        <f>IFERROR(ROUND(IF('Состав ВТК'!$K168=справочник!$A$5,IF(AND('Расчет участников НИР'!$A175='Состав ВТК'!$B168,$J$10='Состав ВТК'!$I168),$F175*$D175*VLOOKUP('Расчет участников НИР'!$B175,Расценка!$C$3:$E$13,3,FALSE),0),0),2),"-")</f>
        <v>0</v>
      </c>
      <c r="K175" s="296">
        <f>IFERROR(ROUND(IF('Состав ВТК'!$K168=справочник!$A$5,IF(AND('Расчет участников НИР'!$A175='Состав ВТК'!$B168,$K$10='Состав ВТК'!$I168),$F175*$D175*VLOOKUP('Расчет участников НИР'!$B175,Расценка!$C$3:$E$13,3,FALSE),0),0),2),"-")</f>
        <v>0</v>
      </c>
      <c r="L175" s="297"/>
      <c r="M175" s="295">
        <f t="shared" ref="M175:M238" si="31">SUM(N175:O175)</f>
        <v>0</v>
      </c>
      <c r="N175" s="298">
        <f>IFERROR(ROUND(IF('Состав ВТК'!$K168=справочник!$A$5,(IF(AND($A175='Состав ВТК'!$B168,$N$10=$C175),$F175*$D175*VLOOKUP($B175,Расценка!$H$3:$K$9,4,FALSE),0)),0),2),"-")</f>
        <v>0</v>
      </c>
      <c r="O175" s="298">
        <f>IFERROR(ROUND(IF('Состав ВТК'!$K168=справочник!$A$5,(IF(AND($A175='Состав ВТК'!$B168,$O$10=$C175),$F175*$D175*VLOOKUP($B175,Расценка!$H$3:$K$9,4,FALSE),0)),0),2),"-")</f>
        <v>0</v>
      </c>
      <c r="P175" s="299">
        <f t="shared" ref="P175:P238" si="32">H175-M175</f>
        <v>0</v>
      </c>
      <c r="Q175" s="300">
        <f t="shared" si="28"/>
        <v>0</v>
      </c>
      <c r="R175" s="300">
        <f t="shared" si="29"/>
        <v>0</v>
      </c>
      <c r="S175" s="295">
        <f t="shared" ref="S175:S238" si="33">SUM(T175:V175)</f>
        <v>0</v>
      </c>
      <c r="T175" s="298">
        <f>IFERROR(ROUND(IF(AND('Расчет участников НИР'!$A175='Состав ВТК'!$B168,'Расчет участников НИР'!$T$10='Состав ВТК'!$I168),$E175,0),2),"-")</f>
        <v>0</v>
      </c>
      <c r="U175" s="298">
        <f>IFERROR(ROUND(IF(AND('Расчет участников НИР'!$A175='Состав ВТК'!$B168,'Расчет участников НИР'!$U$10='Состав ВТК'!$I168),$E175,0),2),"-")</f>
        <v>0</v>
      </c>
      <c r="V175" s="298">
        <f>IFERROR(ROUND(IF(AND('Расчет участников НИР'!$A175='Состав ВТК'!$B168,'Расчет участников НИР'!$V$10='Состав ВТК'!$I168),$E175,0),2),"-")</f>
        <v>0</v>
      </c>
      <c r="W175" s="301" t="str">
        <f t="shared" ref="W175:W238" si="34">IFERROR(T175/$S175,"-")</f>
        <v>-</v>
      </c>
      <c r="X175" s="301" t="str">
        <f t="shared" ref="X175:X238" si="35">IFERROR(U175/$S175,"-")</f>
        <v>-</v>
      </c>
      <c r="Y175" s="301" t="str">
        <f t="shared" ref="Y175:Y238" si="36">IFERROR(V175/$S175,"-")</f>
        <v>-</v>
      </c>
    </row>
    <row r="176" spans="1:25" x14ac:dyDescent="0.25">
      <c r="A176" s="217">
        <f>'Состав ВТК'!B169</f>
        <v>0</v>
      </c>
      <c r="B176" s="290">
        <f>IFERROR(VLOOKUP($A176,Распределение!$B$13:$L$113,11,FALSE),"-")</f>
        <v>0</v>
      </c>
      <c r="C176" s="291" t="str">
        <f>IFERROR(IF(VLOOKUP($B176,Расценка!$H$3:$I$9,2,FALSE)="НС",Расценка!$T$11,Расценка!$T$12),"-")</f>
        <v>-</v>
      </c>
      <c r="D176" s="291">
        <f>IFERROR(INDEX(Распределение!$1:$1048576,MATCH($A176,Распределение!$B:$B,0),MATCH($D$8,Распределение!$9:$9,0)),"---")</f>
        <v>0</v>
      </c>
      <c r="E176" s="292">
        <f>IFERROR(SUMIFS('Трудозатраты членов ВТК'!$G$17:$G$117,'Трудозатраты членов ВТК'!$D$17:$D$117,A:A),"-")</f>
        <v>0</v>
      </c>
      <c r="F176" s="293">
        <f>IFERROR(SUMIFS('Трудозатраты членов ВТК'!$F$464:$F$713,'Трудозатраты членов ВТК'!$D$464:$D$713,A:A),"-")</f>
        <v>0</v>
      </c>
      <c r="G176" s="302"/>
      <c r="H176" s="295">
        <f t="shared" si="30"/>
        <v>0</v>
      </c>
      <c r="I176" s="296">
        <f>IFERROR(ROUND(IF('Состав ВТК'!$K169=справочник!$A$5,IF(AND('Расчет участников НИР'!$A176='Состав ВТК'!$B169,$I$10='Состав ВТК'!$I169),$F176*$D176*VLOOKUP('Расчет участников НИР'!$B176,Расценка!$C$3:$E$13,3,FALSE),0),0),2),"-")</f>
        <v>0</v>
      </c>
      <c r="J176" s="296">
        <f>IFERROR(ROUND(IF('Состав ВТК'!$K169=справочник!$A$5,IF(AND('Расчет участников НИР'!$A176='Состав ВТК'!$B169,$J$10='Состав ВТК'!$I169),$F176*$D176*VLOOKUP('Расчет участников НИР'!$B176,Расценка!$C$3:$E$13,3,FALSE),0),0),2),"-")</f>
        <v>0</v>
      </c>
      <c r="K176" s="296">
        <f>IFERROR(ROUND(IF('Состав ВТК'!$K169=справочник!$A$5,IF(AND('Расчет участников НИР'!$A176='Состав ВТК'!$B169,$K$10='Состав ВТК'!$I169),$F176*$D176*VLOOKUP('Расчет участников НИР'!$B176,Расценка!$C$3:$E$13,3,FALSE),0),0),2),"-")</f>
        <v>0</v>
      </c>
      <c r="L176" s="297"/>
      <c r="M176" s="295">
        <f t="shared" si="31"/>
        <v>0</v>
      </c>
      <c r="N176" s="298">
        <f>IFERROR(ROUND(IF('Состав ВТК'!$K169=справочник!$A$5,(IF(AND($A176='Состав ВТК'!$B169,$N$10=$C176),$F176*$D176*VLOOKUP($B176,Расценка!$H$3:$K$9,4,FALSE),0)),0),2),"-")</f>
        <v>0</v>
      </c>
      <c r="O176" s="298">
        <f>IFERROR(ROUND(IF('Состав ВТК'!$K169=справочник!$A$5,(IF(AND($A176='Состав ВТК'!$B169,$O$10=$C176),$F176*$D176*VLOOKUP($B176,Расценка!$H$3:$K$9,4,FALSE),0)),0),2),"-")</f>
        <v>0</v>
      </c>
      <c r="P176" s="299">
        <f t="shared" si="32"/>
        <v>0</v>
      </c>
      <c r="Q176" s="300">
        <f t="shared" si="28"/>
        <v>0</v>
      </c>
      <c r="R176" s="300">
        <f t="shared" si="29"/>
        <v>0</v>
      </c>
      <c r="S176" s="295">
        <f t="shared" si="33"/>
        <v>0</v>
      </c>
      <c r="T176" s="298">
        <f>IFERROR(ROUND(IF(AND('Расчет участников НИР'!$A176='Состав ВТК'!$B169,'Расчет участников НИР'!$T$10='Состав ВТК'!$I169),$E176,0),2),"-")</f>
        <v>0</v>
      </c>
      <c r="U176" s="298">
        <f>IFERROR(ROUND(IF(AND('Расчет участников НИР'!$A176='Состав ВТК'!$B169,'Расчет участников НИР'!$U$10='Состав ВТК'!$I169),$E176,0),2),"-")</f>
        <v>0</v>
      </c>
      <c r="V176" s="298">
        <f>IFERROR(ROUND(IF(AND('Расчет участников НИР'!$A176='Состав ВТК'!$B169,'Расчет участников НИР'!$V$10='Состав ВТК'!$I169),$E176,0),2),"-")</f>
        <v>0</v>
      </c>
      <c r="W176" s="301" t="str">
        <f t="shared" si="34"/>
        <v>-</v>
      </c>
      <c r="X176" s="301" t="str">
        <f t="shared" si="35"/>
        <v>-</v>
      </c>
      <c r="Y176" s="301" t="str">
        <f t="shared" si="36"/>
        <v>-</v>
      </c>
    </row>
    <row r="177" spans="1:25" x14ac:dyDescent="0.25">
      <c r="A177" s="217">
        <f>'Состав ВТК'!B170</f>
        <v>0</v>
      </c>
      <c r="B177" s="290">
        <f>IFERROR(VLOOKUP($A177,Распределение!$B$13:$L$113,11,FALSE),"-")</f>
        <v>0</v>
      </c>
      <c r="C177" s="291" t="str">
        <f>IFERROR(IF(VLOOKUP($B177,Расценка!$H$3:$I$9,2,FALSE)="НС",Расценка!$T$11,Расценка!$T$12),"-")</f>
        <v>-</v>
      </c>
      <c r="D177" s="291">
        <f>IFERROR(INDEX(Распределение!$1:$1048576,MATCH($A177,Распределение!$B:$B,0),MATCH($D$8,Распределение!$9:$9,0)),"---")</f>
        <v>0</v>
      </c>
      <c r="E177" s="292">
        <f>IFERROR(SUMIFS('Трудозатраты членов ВТК'!$G$17:$G$117,'Трудозатраты членов ВТК'!$D$17:$D$117,A:A),"-")</f>
        <v>0</v>
      </c>
      <c r="F177" s="293">
        <f>IFERROR(SUMIFS('Трудозатраты членов ВТК'!$F$464:$F$713,'Трудозатраты членов ВТК'!$D$464:$D$713,A:A),"-")</f>
        <v>0</v>
      </c>
      <c r="G177" s="302"/>
      <c r="H177" s="295">
        <f t="shared" si="30"/>
        <v>0</v>
      </c>
      <c r="I177" s="296">
        <f>IFERROR(ROUND(IF('Состав ВТК'!$K170=справочник!$A$5,IF(AND('Расчет участников НИР'!$A177='Состав ВТК'!$B170,$I$10='Состав ВТК'!$I170),$F177*$D177*VLOOKUP('Расчет участников НИР'!$B177,Расценка!$C$3:$E$13,3,FALSE),0),0),2),"-")</f>
        <v>0</v>
      </c>
      <c r="J177" s="296">
        <f>IFERROR(ROUND(IF('Состав ВТК'!$K170=справочник!$A$5,IF(AND('Расчет участников НИР'!$A177='Состав ВТК'!$B170,$J$10='Состав ВТК'!$I170),$F177*$D177*VLOOKUP('Расчет участников НИР'!$B177,Расценка!$C$3:$E$13,3,FALSE),0),0),2),"-")</f>
        <v>0</v>
      </c>
      <c r="K177" s="296">
        <f>IFERROR(ROUND(IF('Состав ВТК'!$K170=справочник!$A$5,IF(AND('Расчет участников НИР'!$A177='Состав ВТК'!$B170,$K$10='Состав ВТК'!$I170),$F177*$D177*VLOOKUP('Расчет участников НИР'!$B177,Расценка!$C$3:$E$13,3,FALSE),0),0),2),"-")</f>
        <v>0</v>
      </c>
      <c r="L177" s="297"/>
      <c r="M177" s="295">
        <f t="shared" si="31"/>
        <v>0</v>
      </c>
      <c r="N177" s="298">
        <f>IFERROR(ROUND(IF('Состав ВТК'!$K170=справочник!$A$5,(IF(AND($A177='Состав ВТК'!$B170,$N$10=$C177),$F177*$D177*VLOOKUP($B177,Расценка!$H$3:$K$9,4,FALSE),0)),0),2),"-")</f>
        <v>0</v>
      </c>
      <c r="O177" s="298">
        <f>IFERROR(ROUND(IF('Состав ВТК'!$K170=справочник!$A$5,(IF(AND($A177='Состав ВТК'!$B170,$O$10=$C177),$F177*$D177*VLOOKUP($B177,Расценка!$H$3:$K$9,4,FALSE),0)),0),2),"-")</f>
        <v>0</v>
      </c>
      <c r="P177" s="299">
        <f t="shared" si="32"/>
        <v>0</v>
      </c>
      <c r="Q177" s="300">
        <f t="shared" si="28"/>
        <v>0</v>
      </c>
      <c r="R177" s="300">
        <f t="shared" si="29"/>
        <v>0</v>
      </c>
      <c r="S177" s="295">
        <f t="shared" si="33"/>
        <v>0</v>
      </c>
      <c r="T177" s="298">
        <f>IFERROR(ROUND(IF(AND('Расчет участников НИР'!$A177='Состав ВТК'!$B170,'Расчет участников НИР'!$T$10='Состав ВТК'!$I170),$E177,0),2),"-")</f>
        <v>0</v>
      </c>
      <c r="U177" s="298">
        <f>IFERROR(ROUND(IF(AND('Расчет участников НИР'!$A177='Состав ВТК'!$B170,'Расчет участников НИР'!$U$10='Состав ВТК'!$I170),$E177,0),2),"-")</f>
        <v>0</v>
      </c>
      <c r="V177" s="298">
        <f>IFERROR(ROUND(IF(AND('Расчет участников НИР'!$A177='Состав ВТК'!$B170,'Расчет участников НИР'!$V$10='Состав ВТК'!$I170),$E177,0),2),"-")</f>
        <v>0</v>
      </c>
      <c r="W177" s="301" t="str">
        <f t="shared" si="34"/>
        <v>-</v>
      </c>
      <c r="X177" s="301" t="str">
        <f t="shared" si="35"/>
        <v>-</v>
      </c>
      <c r="Y177" s="301" t="str">
        <f t="shared" si="36"/>
        <v>-</v>
      </c>
    </row>
    <row r="178" spans="1:25" x14ac:dyDescent="0.25">
      <c r="A178" s="217">
        <f>'Состав ВТК'!B171</f>
        <v>0</v>
      </c>
      <c r="B178" s="290">
        <f>IFERROR(VLOOKUP($A178,Распределение!$B$13:$L$113,11,FALSE),"-")</f>
        <v>0</v>
      </c>
      <c r="C178" s="291" t="str">
        <f>IFERROR(IF(VLOOKUP($B178,Расценка!$H$3:$I$9,2,FALSE)="НС",Расценка!$T$11,Расценка!$T$12),"-")</f>
        <v>-</v>
      </c>
      <c r="D178" s="291">
        <f>IFERROR(INDEX(Распределение!$1:$1048576,MATCH($A178,Распределение!$B:$B,0),MATCH($D$8,Распределение!$9:$9,0)),"---")</f>
        <v>0</v>
      </c>
      <c r="E178" s="292">
        <f>IFERROR(SUMIFS('Трудозатраты членов ВТК'!$G$17:$G$117,'Трудозатраты членов ВТК'!$D$17:$D$117,A:A),"-")</f>
        <v>0</v>
      </c>
      <c r="F178" s="293">
        <f>IFERROR(SUMIFS('Трудозатраты членов ВТК'!$F$464:$F$713,'Трудозатраты членов ВТК'!$D$464:$D$713,A:A),"-")</f>
        <v>0</v>
      </c>
      <c r="G178" s="302"/>
      <c r="H178" s="295">
        <f t="shared" si="30"/>
        <v>0</v>
      </c>
      <c r="I178" s="296">
        <f>IFERROR(ROUND(IF('Состав ВТК'!$K171=справочник!$A$5,IF(AND('Расчет участников НИР'!$A178='Состав ВТК'!$B171,$I$10='Состав ВТК'!$I171),$F178*$D178*VLOOKUP('Расчет участников НИР'!$B178,Расценка!$C$3:$E$13,3,FALSE),0),0),2),"-")</f>
        <v>0</v>
      </c>
      <c r="J178" s="296">
        <f>IFERROR(ROUND(IF('Состав ВТК'!$K171=справочник!$A$5,IF(AND('Расчет участников НИР'!$A178='Состав ВТК'!$B171,$J$10='Состав ВТК'!$I171),$F178*$D178*VLOOKUP('Расчет участников НИР'!$B178,Расценка!$C$3:$E$13,3,FALSE),0),0),2),"-")</f>
        <v>0</v>
      </c>
      <c r="K178" s="296">
        <f>IFERROR(ROUND(IF('Состав ВТК'!$K171=справочник!$A$5,IF(AND('Расчет участников НИР'!$A178='Состав ВТК'!$B171,$K$10='Состав ВТК'!$I171),$F178*$D178*VLOOKUP('Расчет участников НИР'!$B178,Расценка!$C$3:$E$13,3,FALSE),0),0),2),"-")</f>
        <v>0</v>
      </c>
      <c r="L178" s="297"/>
      <c r="M178" s="295">
        <f t="shared" si="31"/>
        <v>0</v>
      </c>
      <c r="N178" s="298">
        <f>IFERROR(ROUND(IF('Состав ВТК'!$K171=справочник!$A$5,(IF(AND($A178='Состав ВТК'!$B171,$N$10=$C178),$F178*$D178*VLOOKUP($B178,Расценка!$H$3:$K$9,4,FALSE),0)),0),2),"-")</f>
        <v>0</v>
      </c>
      <c r="O178" s="298">
        <f>IFERROR(ROUND(IF('Состав ВТК'!$K171=справочник!$A$5,(IF(AND($A178='Состав ВТК'!$B171,$O$10=$C178),$F178*$D178*VLOOKUP($B178,Расценка!$H$3:$K$9,4,FALSE),0)),0),2),"-")</f>
        <v>0</v>
      </c>
      <c r="P178" s="299">
        <f t="shared" si="32"/>
        <v>0</v>
      </c>
      <c r="Q178" s="300">
        <f t="shared" si="28"/>
        <v>0</v>
      </c>
      <c r="R178" s="300">
        <f t="shared" si="29"/>
        <v>0</v>
      </c>
      <c r="S178" s="295">
        <f t="shared" si="33"/>
        <v>0</v>
      </c>
      <c r="T178" s="298">
        <f>IFERROR(ROUND(IF(AND('Расчет участников НИР'!$A178='Состав ВТК'!$B171,'Расчет участников НИР'!$T$10='Состав ВТК'!$I171),$E178,0),2),"-")</f>
        <v>0</v>
      </c>
      <c r="U178" s="298">
        <f>IFERROR(ROUND(IF(AND('Расчет участников НИР'!$A178='Состав ВТК'!$B171,'Расчет участников НИР'!$U$10='Состав ВТК'!$I171),$E178,0),2),"-")</f>
        <v>0</v>
      </c>
      <c r="V178" s="298">
        <f>IFERROR(ROUND(IF(AND('Расчет участников НИР'!$A178='Состав ВТК'!$B171,'Расчет участников НИР'!$V$10='Состав ВТК'!$I171),$E178,0),2),"-")</f>
        <v>0</v>
      </c>
      <c r="W178" s="301" t="str">
        <f t="shared" si="34"/>
        <v>-</v>
      </c>
      <c r="X178" s="301" t="str">
        <f t="shared" si="35"/>
        <v>-</v>
      </c>
      <c r="Y178" s="301" t="str">
        <f t="shared" si="36"/>
        <v>-</v>
      </c>
    </row>
    <row r="179" spans="1:25" x14ac:dyDescent="0.25">
      <c r="A179" s="217">
        <f>'Состав ВТК'!B172</f>
        <v>0</v>
      </c>
      <c r="B179" s="290">
        <f>IFERROR(VLOOKUP($A179,Распределение!$B$13:$L$113,11,FALSE),"-")</f>
        <v>0</v>
      </c>
      <c r="C179" s="291" t="str">
        <f>IFERROR(IF(VLOOKUP($B179,Расценка!$H$3:$I$9,2,FALSE)="НС",Расценка!$T$11,Расценка!$T$12),"-")</f>
        <v>-</v>
      </c>
      <c r="D179" s="291">
        <f>IFERROR(INDEX(Распределение!$1:$1048576,MATCH($A179,Распределение!$B:$B,0),MATCH($D$8,Распределение!$9:$9,0)),"---")</f>
        <v>0</v>
      </c>
      <c r="E179" s="292">
        <f>IFERROR(SUMIFS('Трудозатраты членов ВТК'!$G$17:$G$117,'Трудозатраты членов ВТК'!$D$17:$D$117,A:A),"-")</f>
        <v>0</v>
      </c>
      <c r="F179" s="293">
        <f>IFERROR(SUMIFS('Трудозатраты членов ВТК'!$F$464:$F$713,'Трудозатраты членов ВТК'!$D$464:$D$713,A:A),"-")</f>
        <v>0</v>
      </c>
      <c r="G179" s="302"/>
      <c r="H179" s="295">
        <f t="shared" si="30"/>
        <v>0</v>
      </c>
      <c r="I179" s="296">
        <f>IFERROR(ROUND(IF('Состав ВТК'!$K172=справочник!$A$5,IF(AND('Расчет участников НИР'!$A179='Состав ВТК'!$B172,$I$10='Состав ВТК'!$I172),$F179*$D179*VLOOKUP('Расчет участников НИР'!$B179,Расценка!$C$3:$E$13,3,FALSE),0),0),2),"-")</f>
        <v>0</v>
      </c>
      <c r="J179" s="296">
        <f>IFERROR(ROUND(IF('Состав ВТК'!$K172=справочник!$A$5,IF(AND('Расчет участников НИР'!$A179='Состав ВТК'!$B172,$J$10='Состав ВТК'!$I172),$F179*$D179*VLOOKUP('Расчет участников НИР'!$B179,Расценка!$C$3:$E$13,3,FALSE),0),0),2),"-")</f>
        <v>0</v>
      </c>
      <c r="K179" s="296">
        <f>IFERROR(ROUND(IF('Состав ВТК'!$K172=справочник!$A$5,IF(AND('Расчет участников НИР'!$A179='Состав ВТК'!$B172,$K$10='Состав ВТК'!$I172),$F179*$D179*VLOOKUP('Расчет участников НИР'!$B179,Расценка!$C$3:$E$13,3,FALSE),0),0),2),"-")</f>
        <v>0</v>
      </c>
      <c r="L179" s="297"/>
      <c r="M179" s="295">
        <f t="shared" si="31"/>
        <v>0</v>
      </c>
      <c r="N179" s="298">
        <f>IFERROR(ROUND(IF('Состав ВТК'!$K172=справочник!$A$5,(IF(AND($A179='Состав ВТК'!$B172,$N$10=$C179),$F179*$D179*VLOOKUP($B179,Расценка!$H$3:$K$9,4,FALSE),0)),0),2),"-")</f>
        <v>0</v>
      </c>
      <c r="O179" s="298">
        <f>IFERROR(ROUND(IF('Состав ВТК'!$K172=справочник!$A$5,(IF(AND($A179='Состав ВТК'!$B172,$O$10=$C179),$F179*$D179*VLOOKUP($B179,Расценка!$H$3:$K$9,4,FALSE),0)),0),2),"-")</f>
        <v>0</v>
      </c>
      <c r="P179" s="299">
        <f t="shared" si="32"/>
        <v>0</v>
      </c>
      <c r="Q179" s="300">
        <f t="shared" si="28"/>
        <v>0</v>
      </c>
      <c r="R179" s="300">
        <f t="shared" si="29"/>
        <v>0</v>
      </c>
      <c r="S179" s="295">
        <f t="shared" si="33"/>
        <v>0</v>
      </c>
      <c r="T179" s="298">
        <f>IFERROR(ROUND(IF(AND('Расчет участников НИР'!$A179='Состав ВТК'!$B172,'Расчет участников НИР'!$T$10='Состав ВТК'!$I172),$E179,0),2),"-")</f>
        <v>0</v>
      </c>
      <c r="U179" s="298">
        <f>IFERROR(ROUND(IF(AND('Расчет участников НИР'!$A179='Состав ВТК'!$B172,'Расчет участников НИР'!$U$10='Состав ВТК'!$I172),$E179,0),2),"-")</f>
        <v>0</v>
      </c>
      <c r="V179" s="298">
        <f>IFERROR(ROUND(IF(AND('Расчет участников НИР'!$A179='Состав ВТК'!$B172,'Расчет участников НИР'!$V$10='Состав ВТК'!$I172),$E179,0),2),"-")</f>
        <v>0</v>
      </c>
      <c r="W179" s="301" t="str">
        <f t="shared" si="34"/>
        <v>-</v>
      </c>
      <c r="X179" s="301" t="str">
        <f t="shared" si="35"/>
        <v>-</v>
      </c>
      <c r="Y179" s="301" t="str">
        <f t="shared" si="36"/>
        <v>-</v>
      </c>
    </row>
    <row r="180" spans="1:25" x14ac:dyDescent="0.25">
      <c r="A180" s="217">
        <f>'Состав ВТК'!B173</f>
        <v>0</v>
      </c>
      <c r="B180" s="290">
        <f>IFERROR(VLOOKUP($A180,Распределение!$B$13:$L$113,11,FALSE),"-")</f>
        <v>0</v>
      </c>
      <c r="C180" s="291" t="str">
        <f>IFERROR(IF(VLOOKUP($B180,Расценка!$H$3:$I$9,2,FALSE)="НС",Расценка!$T$11,Расценка!$T$12),"-")</f>
        <v>-</v>
      </c>
      <c r="D180" s="291">
        <f>IFERROR(INDEX(Распределение!$1:$1048576,MATCH($A180,Распределение!$B:$B,0),MATCH($D$8,Распределение!$9:$9,0)),"---")</f>
        <v>0</v>
      </c>
      <c r="E180" s="292">
        <f>IFERROR(SUMIFS('Трудозатраты членов ВТК'!$G$17:$G$117,'Трудозатраты членов ВТК'!$D$17:$D$117,A:A),"-")</f>
        <v>0</v>
      </c>
      <c r="F180" s="293">
        <f>IFERROR(SUMIFS('Трудозатраты членов ВТК'!$F$464:$F$713,'Трудозатраты членов ВТК'!$D$464:$D$713,A:A),"-")</f>
        <v>0</v>
      </c>
      <c r="G180" s="302"/>
      <c r="H180" s="295">
        <f t="shared" si="30"/>
        <v>0</v>
      </c>
      <c r="I180" s="296">
        <f>IFERROR(ROUND(IF('Состав ВТК'!$K173=справочник!$A$5,IF(AND('Расчет участников НИР'!$A180='Состав ВТК'!$B173,$I$10='Состав ВТК'!$I173),$F180*$D180*VLOOKUP('Расчет участников НИР'!$B180,Расценка!$C$3:$E$13,3,FALSE),0),0),2),"-")</f>
        <v>0</v>
      </c>
      <c r="J180" s="296">
        <f>IFERROR(ROUND(IF('Состав ВТК'!$K173=справочник!$A$5,IF(AND('Расчет участников НИР'!$A180='Состав ВТК'!$B173,$J$10='Состав ВТК'!$I173),$F180*$D180*VLOOKUP('Расчет участников НИР'!$B180,Расценка!$C$3:$E$13,3,FALSE),0),0),2),"-")</f>
        <v>0</v>
      </c>
      <c r="K180" s="296">
        <f>IFERROR(ROUND(IF('Состав ВТК'!$K173=справочник!$A$5,IF(AND('Расчет участников НИР'!$A180='Состав ВТК'!$B173,$K$10='Состав ВТК'!$I173),$F180*$D180*VLOOKUP('Расчет участников НИР'!$B180,Расценка!$C$3:$E$13,3,FALSE),0),0),2),"-")</f>
        <v>0</v>
      </c>
      <c r="L180" s="297"/>
      <c r="M180" s="295">
        <f t="shared" si="31"/>
        <v>0</v>
      </c>
      <c r="N180" s="298">
        <f>IFERROR(ROUND(IF('Состав ВТК'!$K173=справочник!$A$5,(IF(AND($A180='Состав ВТК'!$B173,$N$10=$C180),$F180*$D180*VLOOKUP($B180,Расценка!$H$3:$K$9,4,FALSE),0)),0),2),"-")</f>
        <v>0</v>
      </c>
      <c r="O180" s="298">
        <f>IFERROR(ROUND(IF('Состав ВТК'!$K173=справочник!$A$5,(IF(AND($A180='Состав ВТК'!$B173,$O$10=$C180),$F180*$D180*VLOOKUP($B180,Расценка!$H$3:$K$9,4,FALSE),0)),0),2),"-")</f>
        <v>0</v>
      </c>
      <c r="P180" s="299">
        <f t="shared" si="32"/>
        <v>0</v>
      </c>
      <c r="Q180" s="300">
        <f t="shared" si="28"/>
        <v>0</v>
      </c>
      <c r="R180" s="300">
        <f t="shared" si="29"/>
        <v>0</v>
      </c>
      <c r="S180" s="295">
        <f t="shared" si="33"/>
        <v>0</v>
      </c>
      <c r="T180" s="298">
        <f>IFERROR(ROUND(IF(AND('Расчет участников НИР'!$A180='Состав ВТК'!$B173,'Расчет участников НИР'!$T$10='Состав ВТК'!$I173),$E180,0),2),"-")</f>
        <v>0</v>
      </c>
      <c r="U180" s="298">
        <f>IFERROR(ROUND(IF(AND('Расчет участников НИР'!$A180='Состав ВТК'!$B173,'Расчет участников НИР'!$U$10='Состав ВТК'!$I173),$E180,0),2),"-")</f>
        <v>0</v>
      </c>
      <c r="V180" s="298">
        <f>IFERROR(ROUND(IF(AND('Расчет участников НИР'!$A180='Состав ВТК'!$B173,'Расчет участников НИР'!$V$10='Состав ВТК'!$I173),$E180,0),2),"-")</f>
        <v>0</v>
      </c>
      <c r="W180" s="301" t="str">
        <f t="shared" si="34"/>
        <v>-</v>
      </c>
      <c r="X180" s="301" t="str">
        <f t="shared" si="35"/>
        <v>-</v>
      </c>
      <c r="Y180" s="301" t="str">
        <f t="shared" si="36"/>
        <v>-</v>
      </c>
    </row>
    <row r="181" spans="1:25" x14ac:dyDescent="0.25">
      <c r="A181" s="217">
        <f>'Состав ВТК'!B174</f>
        <v>0</v>
      </c>
      <c r="B181" s="290">
        <f>IFERROR(VLOOKUP($A181,Распределение!$B$13:$L$113,11,FALSE),"-")</f>
        <v>0</v>
      </c>
      <c r="C181" s="291" t="str">
        <f>IFERROR(IF(VLOOKUP($B181,Расценка!$H$3:$I$9,2,FALSE)="НС",Расценка!$T$11,Расценка!$T$12),"-")</f>
        <v>-</v>
      </c>
      <c r="D181" s="291">
        <f>IFERROR(INDEX(Распределение!$1:$1048576,MATCH($A181,Распределение!$B:$B,0),MATCH($D$8,Распределение!$9:$9,0)),"---")</f>
        <v>0</v>
      </c>
      <c r="E181" s="292">
        <f>IFERROR(SUMIFS('Трудозатраты членов ВТК'!$G$17:$G$117,'Трудозатраты членов ВТК'!$D$17:$D$117,A:A),"-")</f>
        <v>0</v>
      </c>
      <c r="F181" s="293">
        <f>IFERROR(SUMIFS('Трудозатраты членов ВТК'!$F$464:$F$713,'Трудозатраты членов ВТК'!$D$464:$D$713,A:A),"-")</f>
        <v>0</v>
      </c>
      <c r="G181" s="302"/>
      <c r="H181" s="295">
        <f t="shared" si="30"/>
        <v>0</v>
      </c>
      <c r="I181" s="296">
        <f>IFERROR(ROUND(IF('Состав ВТК'!$K174=справочник!$A$5,IF(AND('Расчет участников НИР'!$A181='Состав ВТК'!$B174,$I$10='Состав ВТК'!$I174),$F181*$D181*VLOOKUP('Расчет участников НИР'!$B181,Расценка!$C$3:$E$13,3,FALSE),0),0),2),"-")</f>
        <v>0</v>
      </c>
      <c r="J181" s="296">
        <f>IFERROR(ROUND(IF('Состав ВТК'!$K174=справочник!$A$5,IF(AND('Расчет участников НИР'!$A181='Состав ВТК'!$B174,$J$10='Состав ВТК'!$I174),$F181*$D181*VLOOKUP('Расчет участников НИР'!$B181,Расценка!$C$3:$E$13,3,FALSE),0),0),2),"-")</f>
        <v>0</v>
      </c>
      <c r="K181" s="296">
        <f>IFERROR(ROUND(IF('Состав ВТК'!$K174=справочник!$A$5,IF(AND('Расчет участников НИР'!$A181='Состав ВТК'!$B174,$K$10='Состав ВТК'!$I174),$F181*$D181*VLOOKUP('Расчет участников НИР'!$B181,Расценка!$C$3:$E$13,3,FALSE),0),0),2),"-")</f>
        <v>0</v>
      </c>
      <c r="L181" s="297"/>
      <c r="M181" s="295">
        <f t="shared" si="31"/>
        <v>0</v>
      </c>
      <c r="N181" s="298">
        <f>IFERROR(ROUND(IF('Состав ВТК'!$K174=справочник!$A$5,(IF(AND($A181='Состав ВТК'!$B174,$N$10=$C181),$F181*$D181*VLOOKUP($B181,Расценка!$H$3:$K$9,4,FALSE),0)),0),2),"-")</f>
        <v>0</v>
      </c>
      <c r="O181" s="298">
        <f>IFERROR(ROUND(IF('Состав ВТК'!$K174=справочник!$A$5,(IF(AND($A181='Состав ВТК'!$B174,$O$10=$C181),$F181*$D181*VLOOKUP($B181,Расценка!$H$3:$K$9,4,FALSE),0)),0),2),"-")</f>
        <v>0</v>
      </c>
      <c r="P181" s="299">
        <f t="shared" si="32"/>
        <v>0</v>
      </c>
      <c r="Q181" s="300">
        <f t="shared" si="28"/>
        <v>0</v>
      </c>
      <c r="R181" s="300">
        <f t="shared" si="29"/>
        <v>0</v>
      </c>
      <c r="S181" s="295">
        <f t="shared" si="33"/>
        <v>0</v>
      </c>
      <c r="T181" s="298">
        <f>IFERROR(ROUND(IF(AND('Расчет участников НИР'!$A181='Состав ВТК'!$B174,'Расчет участников НИР'!$T$10='Состав ВТК'!$I174),$E181,0),2),"-")</f>
        <v>0</v>
      </c>
      <c r="U181" s="298">
        <f>IFERROR(ROUND(IF(AND('Расчет участников НИР'!$A181='Состав ВТК'!$B174,'Расчет участников НИР'!$U$10='Состав ВТК'!$I174),$E181,0),2),"-")</f>
        <v>0</v>
      </c>
      <c r="V181" s="298">
        <f>IFERROR(ROUND(IF(AND('Расчет участников НИР'!$A181='Состав ВТК'!$B174,'Расчет участников НИР'!$V$10='Состав ВТК'!$I174),$E181,0),2),"-")</f>
        <v>0</v>
      </c>
      <c r="W181" s="301" t="str">
        <f t="shared" si="34"/>
        <v>-</v>
      </c>
      <c r="X181" s="301" t="str">
        <f t="shared" si="35"/>
        <v>-</v>
      </c>
      <c r="Y181" s="301" t="str">
        <f t="shared" si="36"/>
        <v>-</v>
      </c>
    </row>
    <row r="182" spans="1:25" x14ac:dyDescent="0.25">
      <c r="A182" s="217">
        <f>'Состав ВТК'!B175</f>
        <v>0</v>
      </c>
      <c r="B182" s="290">
        <f>IFERROR(VLOOKUP($A182,Распределение!$B$13:$L$113,11,FALSE),"-")</f>
        <v>0</v>
      </c>
      <c r="C182" s="291" t="str">
        <f>IFERROR(IF(VLOOKUP($B182,Расценка!$H$3:$I$9,2,FALSE)="НС",Расценка!$T$11,Расценка!$T$12),"-")</f>
        <v>-</v>
      </c>
      <c r="D182" s="291">
        <f>IFERROR(INDEX(Распределение!$1:$1048576,MATCH($A182,Распределение!$B:$B,0),MATCH($D$8,Распределение!$9:$9,0)),"---")</f>
        <v>0</v>
      </c>
      <c r="E182" s="292">
        <f>IFERROR(SUMIFS('Трудозатраты членов ВТК'!$G$17:$G$117,'Трудозатраты членов ВТК'!$D$17:$D$117,A:A),"-")</f>
        <v>0</v>
      </c>
      <c r="F182" s="293">
        <f>IFERROR(SUMIFS('Трудозатраты членов ВТК'!$F$464:$F$713,'Трудозатраты членов ВТК'!$D$464:$D$713,A:A),"-")</f>
        <v>0</v>
      </c>
      <c r="G182" s="302"/>
      <c r="H182" s="295">
        <f t="shared" si="30"/>
        <v>0</v>
      </c>
      <c r="I182" s="296">
        <f>IFERROR(ROUND(IF('Состав ВТК'!$K175=справочник!$A$5,IF(AND('Расчет участников НИР'!$A182='Состав ВТК'!$B175,$I$10='Состав ВТК'!$I175),$F182*$D182*VLOOKUP('Расчет участников НИР'!$B182,Расценка!$C$3:$E$13,3,FALSE),0),0),2),"-")</f>
        <v>0</v>
      </c>
      <c r="J182" s="296">
        <f>IFERROR(ROUND(IF('Состав ВТК'!$K175=справочник!$A$5,IF(AND('Расчет участников НИР'!$A182='Состав ВТК'!$B175,$J$10='Состав ВТК'!$I175),$F182*$D182*VLOOKUP('Расчет участников НИР'!$B182,Расценка!$C$3:$E$13,3,FALSE),0),0),2),"-")</f>
        <v>0</v>
      </c>
      <c r="K182" s="296">
        <f>IFERROR(ROUND(IF('Состав ВТК'!$K175=справочник!$A$5,IF(AND('Расчет участников НИР'!$A182='Состав ВТК'!$B175,$K$10='Состав ВТК'!$I175),$F182*$D182*VLOOKUP('Расчет участников НИР'!$B182,Расценка!$C$3:$E$13,3,FALSE),0),0),2),"-")</f>
        <v>0</v>
      </c>
      <c r="L182" s="297"/>
      <c r="M182" s="295">
        <f t="shared" si="31"/>
        <v>0</v>
      </c>
      <c r="N182" s="298">
        <f>IFERROR(ROUND(IF('Состав ВТК'!$K175=справочник!$A$5,(IF(AND($A182='Состав ВТК'!$B175,$N$10=$C182),$F182*$D182*VLOOKUP($B182,Расценка!$H$3:$K$9,4,FALSE),0)),0),2),"-")</f>
        <v>0</v>
      </c>
      <c r="O182" s="298">
        <f>IFERROR(ROUND(IF('Состав ВТК'!$K175=справочник!$A$5,(IF(AND($A182='Состав ВТК'!$B175,$O$10=$C182),$F182*$D182*VLOOKUP($B182,Расценка!$H$3:$K$9,4,FALSE),0)),0),2),"-")</f>
        <v>0</v>
      </c>
      <c r="P182" s="299">
        <f t="shared" si="32"/>
        <v>0</v>
      </c>
      <c r="Q182" s="300">
        <f t="shared" si="28"/>
        <v>0</v>
      </c>
      <c r="R182" s="300">
        <f t="shared" si="29"/>
        <v>0</v>
      </c>
      <c r="S182" s="295">
        <f t="shared" si="33"/>
        <v>0</v>
      </c>
      <c r="T182" s="298">
        <f>IFERROR(ROUND(IF(AND('Расчет участников НИР'!$A182='Состав ВТК'!$B175,'Расчет участников НИР'!$T$10='Состав ВТК'!$I175),$E182,0),2),"-")</f>
        <v>0</v>
      </c>
      <c r="U182" s="298">
        <f>IFERROR(ROUND(IF(AND('Расчет участников НИР'!$A182='Состав ВТК'!$B175,'Расчет участников НИР'!$U$10='Состав ВТК'!$I175),$E182,0),2),"-")</f>
        <v>0</v>
      </c>
      <c r="V182" s="298">
        <f>IFERROR(ROUND(IF(AND('Расчет участников НИР'!$A182='Состав ВТК'!$B175,'Расчет участников НИР'!$V$10='Состав ВТК'!$I175),$E182,0),2),"-")</f>
        <v>0</v>
      </c>
      <c r="W182" s="301" t="str">
        <f t="shared" si="34"/>
        <v>-</v>
      </c>
      <c r="X182" s="301" t="str">
        <f t="shared" si="35"/>
        <v>-</v>
      </c>
      <c r="Y182" s="301" t="str">
        <f t="shared" si="36"/>
        <v>-</v>
      </c>
    </row>
    <row r="183" spans="1:25" x14ac:dyDescent="0.25">
      <c r="A183" s="217">
        <f>'Состав ВТК'!B176</f>
        <v>0</v>
      </c>
      <c r="B183" s="290">
        <f>IFERROR(VLOOKUP($A183,Распределение!$B$13:$L$113,11,FALSE),"-")</f>
        <v>0</v>
      </c>
      <c r="C183" s="291" t="str">
        <f>IFERROR(IF(VLOOKUP($B183,Расценка!$H$3:$I$9,2,FALSE)="НС",Расценка!$T$11,Расценка!$T$12),"-")</f>
        <v>-</v>
      </c>
      <c r="D183" s="291">
        <f>IFERROR(INDEX(Распределение!$1:$1048576,MATCH($A183,Распределение!$B:$B,0),MATCH($D$8,Распределение!$9:$9,0)),"---")</f>
        <v>0</v>
      </c>
      <c r="E183" s="292">
        <f>IFERROR(SUMIFS('Трудозатраты членов ВТК'!$G$17:$G$117,'Трудозатраты членов ВТК'!$D$17:$D$117,A:A),"-")</f>
        <v>0</v>
      </c>
      <c r="F183" s="293">
        <f>IFERROR(SUMIFS('Трудозатраты членов ВТК'!$F$464:$F$713,'Трудозатраты членов ВТК'!$D$464:$D$713,A:A),"-")</f>
        <v>0</v>
      </c>
      <c r="G183" s="302"/>
      <c r="H183" s="295">
        <f t="shared" si="30"/>
        <v>0</v>
      </c>
      <c r="I183" s="296">
        <f>IFERROR(ROUND(IF('Состав ВТК'!$K176=справочник!$A$5,IF(AND('Расчет участников НИР'!$A183='Состав ВТК'!$B176,$I$10='Состав ВТК'!$I176),$F183*$D183*VLOOKUP('Расчет участников НИР'!$B183,Расценка!$C$3:$E$13,3,FALSE),0),0),2),"-")</f>
        <v>0</v>
      </c>
      <c r="J183" s="296">
        <f>IFERROR(ROUND(IF('Состав ВТК'!$K176=справочник!$A$5,IF(AND('Расчет участников НИР'!$A183='Состав ВТК'!$B176,$J$10='Состав ВТК'!$I176),$F183*$D183*VLOOKUP('Расчет участников НИР'!$B183,Расценка!$C$3:$E$13,3,FALSE),0),0),2),"-")</f>
        <v>0</v>
      </c>
      <c r="K183" s="296">
        <f>IFERROR(ROUND(IF('Состав ВТК'!$K176=справочник!$A$5,IF(AND('Расчет участников НИР'!$A183='Состав ВТК'!$B176,$K$10='Состав ВТК'!$I176),$F183*$D183*VLOOKUP('Расчет участников НИР'!$B183,Расценка!$C$3:$E$13,3,FALSE),0),0),2),"-")</f>
        <v>0</v>
      </c>
      <c r="L183" s="297"/>
      <c r="M183" s="295">
        <f t="shared" si="31"/>
        <v>0</v>
      </c>
      <c r="N183" s="298">
        <f>IFERROR(ROUND(IF('Состав ВТК'!$K176=справочник!$A$5,(IF(AND($A183='Состав ВТК'!$B176,$N$10=$C183),$F183*$D183*VLOOKUP($B183,Расценка!$H$3:$K$9,4,FALSE),0)),0),2),"-")</f>
        <v>0</v>
      </c>
      <c r="O183" s="298">
        <f>IFERROR(ROUND(IF('Состав ВТК'!$K176=справочник!$A$5,(IF(AND($A183='Состав ВТК'!$B176,$O$10=$C183),$F183*$D183*VLOOKUP($B183,Расценка!$H$3:$K$9,4,FALSE),0)),0),2),"-")</f>
        <v>0</v>
      </c>
      <c r="P183" s="299">
        <f t="shared" si="32"/>
        <v>0</v>
      </c>
      <c r="Q183" s="300">
        <f t="shared" si="28"/>
        <v>0</v>
      </c>
      <c r="R183" s="300">
        <f t="shared" si="29"/>
        <v>0</v>
      </c>
      <c r="S183" s="295">
        <f t="shared" si="33"/>
        <v>0</v>
      </c>
      <c r="T183" s="298">
        <f>IFERROR(ROUND(IF(AND('Расчет участников НИР'!$A183='Состав ВТК'!$B176,'Расчет участников НИР'!$T$10='Состав ВТК'!$I176),$E183,0),2),"-")</f>
        <v>0</v>
      </c>
      <c r="U183" s="298">
        <f>IFERROR(ROUND(IF(AND('Расчет участников НИР'!$A183='Состав ВТК'!$B176,'Расчет участников НИР'!$U$10='Состав ВТК'!$I176),$E183,0),2),"-")</f>
        <v>0</v>
      </c>
      <c r="V183" s="298">
        <f>IFERROR(ROUND(IF(AND('Расчет участников НИР'!$A183='Состав ВТК'!$B176,'Расчет участников НИР'!$V$10='Состав ВТК'!$I176),$E183,0),2),"-")</f>
        <v>0</v>
      </c>
      <c r="W183" s="301" t="str">
        <f t="shared" si="34"/>
        <v>-</v>
      </c>
      <c r="X183" s="301" t="str">
        <f t="shared" si="35"/>
        <v>-</v>
      </c>
      <c r="Y183" s="301" t="str">
        <f t="shared" si="36"/>
        <v>-</v>
      </c>
    </row>
    <row r="184" spans="1:25" x14ac:dyDescent="0.25">
      <c r="A184" s="217">
        <f>'Состав ВТК'!B177</f>
        <v>0</v>
      </c>
      <c r="B184" s="290">
        <f>IFERROR(VLOOKUP($A184,Распределение!$B$13:$L$113,11,FALSE),"-")</f>
        <v>0</v>
      </c>
      <c r="C184" s="291" t="str">
        <f>IFERROR(IF(VLOOKUP($B184,Расценка!$H$3:$I$9,2,FALSE)="НС",Расценка!$T$11,Расценка!$T$12),"-")</f>
        <v>-</v>
      </c>
      <c r="D184" s="291">
        <f>IFERROR(INDEX(Распределение!$1:$1048576,MATCH($A184,Распределение!$B:$B,0),MATCH($D$8,Распределение!$9:$9,0)),"---")</f>
        <v>0</v>
      </c>
      <c r="E184" s="292">
        <f>IFERROR(SUMIFS('Трудозатраты членов ВТК'!$G$17:$G$117,'Трудозатраты членов ВТК'!$D$17:$D$117,A:A),"-")</f>
        <v>0</v>
      </c>
      <c r="F184" s="293">
        <f>IFERROR(SUMIFS('Трудозатраты членов ВТК'!$F$464:$F$713,'Трудозатраты членов ВТК'!$D$464:$D$713,A:A),"-")</f>
        <v>0</v>
      </c>
      <c r="G184" s="302"/>
      <c r="H184" s="295">
        <f t="shared" si="30"/>
        <v>0</v>
      </c>
      <c r="I184" s="296">
        <f>IFERROR(ROUND(IF('Состав ВТК'!$K177=справочник!$A$5,IF(AND('Расчет участников НИР'!$A184='Состав ВТК'!$B177,$I$10='Состав ВТК'!$I177),$F184*$D184*VLOOKUP('Расчет участников НИР'!$B184,Расценка!$C$3:$E$13,3,FALSE),0),0),2),"-")</f>
        <v>0</v>
      </c>
      <c r="J184" s="296">
        <f>IFERROR(ROUND(IF('Состав ВТК'!$K177=справочник!$A$5,IF(AND('Расчет участников НИР'!$A184='Состав ВТК'!$B177,$J$10='Состав ВТК'!$I177),$F184*$D184*VLOOKUP('Расчет участников НИР'!$B184,Расценка!$C$3:$E$13,3,FALSE),0),0),2),"-")</f>
        <v>0</v>
      </c>
      <c r="K184" s="296">
        <f>IFERROR(ROUND(IF('Состав ВТК'!$K177=справочник!$A$5,IF(AND('Расчет участников НИР'!$A184='Состав ВТК'!$B177,$K$10='Состав ВТК'!$I177),$F184*$D184*VLOOKUP('Расчет участников НИР'!$B184,Расценка!$C$3:$E$13,3,FALSE),0),0),2),"-")</f>
        <v>0</v>
      </c>
      <c r="L184" s="297"/>
      <c r="M184" s="295">
        <f t="shared" si="31"/>
        <v>0</v>
      </c>
      <c r="N184" s="298">
        <f>IFERROR(ROUND(IF('Состав ВТК'!$K177=справочник!$A$5,(IF(AND($A184='Состав ВТК'!$B177,$N$10=$C184),$F184*$D184*VLOOKUP($B184,Расценка!$H$3:$K$9,4,FALSE),0)),0),2),"-")</f>
        <v>0</v>
      </c>
      <c r="O184" s="298">
        <f>IFERROR(ROUND(IF('Состав ВТК'!$K177=справочник!$A$5,(IF(AND($A184='Состав ВТК'!$B177,$O$10=$C184),$F184*$D184*VLOOKUP($B184,Расценка!$H$3:$K$9,4,FALSE),0)),0),2),"-")</f>
        <v>0</v>
      </c>
      <c r="P184" s="299">
        <f t="shared" si="32"/>
        <v>0</v>
      </c>
      <c r="Q184" s="300">
        <f t="shared" si="28"/>
        <v>0</v>
      </c>
      <c r="R184" s="300">
        <f t="shared" si="29"/>
        <v>0</v>
      </c>
      <c r="S184" s="295">
        <f t="shared" si="33"/>
        <v>0</v>
      </c>
      <c r="T184" s="298">
        <f>IFERROR(ROUND(IF(AND('Расчет участников НИР'!$A184='Состав ВТК'!$B177,'Расчет участников НИР'!$T$10='Состав ВТК'!$I177),$E184,0),2),"-")</f>
        <v>0</v>
      </c>
      <c r="U184" s="298">
        <f>IFERROR(ROUND(IF(AND('Расчет участников НИР'!$A184='Состав ВТК'!$B177,'Расчет участников НИР'!$U$10='Состав ВТК'!$I177),$E184,0),2),"-")</f>
        <v>0</v>
      </c>
      <c r="V184" s="298">
        <f>IFERROR(ROUND(IF(AND('Расчет участников НИР'!$A184='Состав ВТК'!$B177,'Расчет участников НИР'!$V$10='Состав ВТК'!$I177),$E184,0),2),"-")</f>
        <v>0</v>
      </c>
      <c r="W184" s="301" t="str">
        <f t="shared" si="34"/>
        <v>-</v>
      </c>
      <c r="X184" s="301" t="str">
        <f t="shared" si="35"/>
        <v>-</v>
      </c>
      <c r="Y184" s="301" t="str">
        <f t="shared" si="36"/>
        <v>-</v>
      </c>
    </row>
    <row r="185" spans="1:25" x14ac:dyDescent="0.25">
      <c r="A185" s="217">
        <f>'Состав ВТК'!B178</f>
        <v>0</v>
      </c>
      <c r="B185" s="290">
        <f>IFERROR(VLOOKUP($A185,Распределение!$B$13:$L$113,11,FALSE),"-")</f>
        <v>0</v>
      </c>
      <c r="C185" s="291" t="str">
        <f>IFERROR(IF(VLOOKUP($B185,Расценка!$H$3:$I$9,2,FALSE)="НС",Расценка!$T$11,Расценка!$T$12),"-")</f>
        <v>-</v>
      </c>
      <c r="D185" s="291">
        <f>IFERROR(INDEX(Распределение!$1:$1048576,MATCH($A185,Распределение!$B:$B,0),MATCH($D$8,Распределение!$9:$9,0)),"---")</f>
        <v>0</v>
      </c>
      <c r="E185" s="292">
        <f>IFERROR(SUMIFS('Трудозатраты членов ВТК'!$G$17:$G$117,'Трудозатраты членов ВТК'!$D$17:$D$117,A:A),"-")</f>
        <v>0</v>
      </c>
      <c r="F185" s="293">
        <f>IFERROR(SUMIFS('Трудозатраты членов ВТК'!$F$464:$F$713,'Трудозатраты членов ВТК'!$D$464:$D$713,A:A),"-")</f>
        <v>0</v>
      </c>
      <c r="G185" s="302"/>
      <c r="H185" s="295">
        <f t="shared" si="30"/>
        <v>0</v>
      </c>
      <c r="I185" s="296">
        <f>IFERROR(ROUND(IF('Состав ВТК'!$K178=справочник!$A$5,IF(AND('Расчет участников НИР'!$A185='Состав ВТК'!$B178,$I$10='Состав ВТК'!$I178),$F185*$D185*VLOOKUP('Расчет участников НИР'!$B185,Расценка!$C$3:$E$13,3,FALSE),0),0),2),"-")</f>
        <v>0</v>
      </c>
      <c r="J185" s="296">
        <f>IFERROR(ROUND(IF('Состав ВТК'!$K178=справочник!$A$5,IF(AND('Расчет участников НИР'!$A185='Состав ВТК'!$B178,$J$10='Состав ВТК'!$I178),$F185*$D185*VLOOKUP('Расчет участников НИР'!$B185,Расценка!$C$3:$E$13,3,FALSE),0),0),2),"-")</f>
        <v>0</v>
      </c>
      <c r="K185" s="296">
        <f>IFERROR(ROUND(IF('Состав ВТК'!$K178=справочник!$A$5,IF(AND('Расчет участников НИР'!$A185='Состав ВТК'!$B178,$K$10='Состав ВТК'!$I178),$F185*$D185*VLOOKUP('Расчет участников НИР'!$B185,Расценка!$C$3:$E$13,3,FALSE),0),0),2),"-")</f>
        <v>0</v>
      </c>
      <c r="L185" s="297"/>
      <c r="M185" s="295">
        <f t="shared" si="31"/>
        <v>0</v>
      </c>
      <c r="N185" s="298">
        <f>IFERROR(ROUND(IF('Состав ВТК'!$K178=справочник!$A$5,(IF(AND($A185='Состав ВТК'!$B178,$N$10=$C185),$F185*$D185*VLOOKUP($B185,Расценка!$H$3:$K$9,4,FALSE),0)),0),2),"-")</f>
        <v>0</v>
      </c>
      <c r="O185" s="298">
        <f>IFERROR(ROUND(IF('Состав ВТК'!$K178=справочник!$A$5,(IF(AND($A185='Состав ВТК'!$B178,$O$10=$C185),$F185*$D185*VLOOKUP($B185,Расценка!$H$3:$K$9,4,FALSE),0)),0),2),"-")</f>
        <v>0</v>
      </c>
      <c r="P185" s="299">
        <f t="shared" si="32"/>
        <v>0</v>
      </c>
      <c r="Q185" s="300">
        <f t="shared" si="28"/>
        <v>0</v>
      </c>
      <c r="R185" s="300">
        <f t="shared" si="29"/>
        <v>0</v>
      </c>
      <c r="S185" s="295">
        <f t="shared" si="33"/>
        <v>0</v>
      </c>
      <c r="T185" s="298">
        <f>IFERROR(ROUND(IF(AND('Расчет участников НИР'!$A185='Состав ВТК'!$B178,'Расчет участников НИР'!$T$10='Состав ВТК'!$I178),$E185,0),2),"-")</f>
        <v>0</v>
      </c>
      <c r="U185" s="298">
        <f>IFERROR(ROUND(IF(AND('Расчет участников НИР'!$A185='Состав ВТК'!$B178,'Расчет участников НИР'!$U$10='Состав ВТК'!$I178),$E185,0),2),"-")</f>
        <v>0</v>
      </c>
      <c r="V185" s="298">
        <f>IFERROR(ROUND(IF(AND('Расчет участников НИР'!$A185='Состав ВТК'!$B178,'Расчет участников НИР'!$V$10='Состав ВТК'!$I178),$E185,0),2),"-")</f>
        <v>0</v>
      </c>
      <c r="W185" s="301" t="str">
        <f t="shared" si="34"/>
        <v>-</v>
      </c>
      <c r="X185" s="301" t="str">
        <f t="shared" si="35"/>
        <v>-</v>
      </c>
      <c r="Y185" s="301" t="str">
        <f t="shared" si="36"/>
        <v>-</v>
      </c>
    </row>
    <row r="186" spans="1:25" x14ac:dyDescent="0.25">
      <c r="A186" s="217">
        <f>'Состав ВТК'!B179</f>
        <v>0</v>
      </c>
      <c r="B186" s="290">
        <f>IFERROR(VLOOKUP($A186,Распределение!$B$13:$L$113,11,FALSE),"-")</f>
        <v>0</v>
      </c>
      <c r="C186" s="291" t="str">
        <f>IFERROR(IF(VLOOKUP($B186,Расценка!$H$3:$I$9,2,FALSE)="НС",Расценка!$T$11,Расценка!$T$12),"-")</f>
        <v>-</v>
      </c>
      <c r="D186" s="291">
        <f>IFERROR(INDEX(Распределение!$1:$1048576,MATCH($A186,Распределение!$B:$B,0),MATCH($D$8,Распределение!$9:$9,0)),"---")</f>
        <v>0</v>
      </c>
      <c r="E186" s="292">
        <f>IFERROR(SUMIFS('Трудозатраты членов ВТК'!$G$17:$G$117,'Трудозатраты членов ВТК'!$D$17:$D$117,A:A),"-")</f>
        <v>0</v>
      </c>
      <c r="F186" s="293">
        <f>IFERROR(SUMIFS('Трудозатраты членов ВТК'!$F$464:$F$713,'Трудозатраты членов ВТК'!$D$464:$D$713,A:A),"-")</f>
        <v>0</v>
      </c>
      <c r="G186" s="302"/>
      <c r="H186" s="295">
        <f t="shared" si="30"/>
        <v>0</v>
      </c>
      <c r="I186" s="296">
        <f>IFERROR(ROUND(IF('Состав ВТК'!$K179=справочник!$A$5,IF(AND('Расчет участников НИР'!$A186='Состав ВТК'!$B179,$I$10='Состав ВТК'!$I179),$F186*$D186*VLOOKUP('Расчет участников НИР'!$B186,Расценка!$C$3:$E$13,3,FALSE),0),0),2),"-")</f>
        <v>0</v>
      </c>
      <c r="J186" s="296">
        <f>IFERROR(ROUND(IF('Состав ВТК'!$K179=справочник!$A$5,IF(AND('Расчет участников НИР'!$A186='Состав ВТК'!$B179,$J$10='Состав ВТК'!$I179),$F186*$D186*VLOOKUP('Расчет участников НИР'!$B186,Расценка!$C$3:$E$13,3,FALSE),0),0),2),"-")</f>
        <v>0</v>
      </c>
      <c r="K186" s="296">
        <f>IFERROR(ROUND(IF('Состав ВТК'!$K179=справочник!$A$5,IF(AND('Расчет участников НИР'!$A186='Состав ВТК'!$B179,$K$10='Состав ВТК'!$I179),$F186*$D186*VLOOKUP('Расчет участников НИР'!$B186,Расценка!$C$3:$E$13,3,FALSE),0),0),2),"-")</f>
        <v>0</v>
      </c>
      <c r="L186" s="297"/>
      <c r="M186" s="295">
        <f t="shared" si="31"/>
        <v>0</v>
      </c>
      <c r="N186" s="298">
        <f>IFERROR(ROUND(IF('Состав ВТК'!$K179=справочник!$A$5,(IF(AND($A186='Состав ВТК'!$B179,$N$10=$C186),$F186*$D186*VLOOKUP($B186,Расценка!$H$3:$K$9,4,FALSE),0)),0),2),"-")</f>
        <v>0</v>
      </c>
      <c r="O186" s="298">
        <f>IFERROR(ROUND(IF('Состав ВТК'!$K179=справочник!$A$5,(IF(AND($A186='Состав ВТК'!$B179,$O$10=$C186),$F186*$D186*VLOOKUP($B186,Расценка!$H$3:$K$9,4,FALSE),0)),0),2),"-")</f>
        <v>0</v>
      </c>
      <c r="P186" s="299">
        <f t="shared" si="32"/>
        <v>0</v>
      </c>
      <c r="Q186" s="300">
        <f t="shared" si="28"/>
        <v>0</v>
      </c>
      <c r="R186" s="300">
        <f t="shared" si="29"/>
        <v>0</v>
      </c>
      <c r="S186" s="295">
        <f t="shared" si="33"/>
        <v>0</v>
      </c>
      <c r="T186" s="298">
        <f>IFERROR(ROUND(IF(AND('Расчет участников НИР'!$A186='Состав ВТК'!$B179,'Расчет участников НИР'!$T$10='Состав ВТК'!$I179),$E186,0),2),"-")</f>
        <v>0</v>
      </c>
      <c r="U186" s="298">
        <f>IFERROR(ROUND(IF(AND('Расчет участников НИР'!$A186='Состав ВТК'!$B179,'Расчет участников НИР'!$U$10='Состав ВТК'!$I179),$E186,0),2),"-")</f>
        <v>0</v>
      </c>
      <c r="V186" s="298">
        <f>IFERROR(ROUND(IF(AND('Расчет участников НИР'!$A186='Состав ВТК'!$B179,'Расчет участников НИР'!$V$10='Состав ВТК'!$I179),$E186,0),2),"-")</f>
        <v>0</v>
      </c>
      <c r="W186" s="301" t="str">
        <f t="shared" si="34"/>
        <v>-</v>
      </c>
      <c r="X186" s="301" t="str">
        <f t="shared" si="35"/>
        <v>-</v>
      </c>
      <c r="Y186" s="301" t="str">
        <f t="shared" si="36"/>
        <v>-</v>
      </c>
    </row>
    <row r="187" spans="1:25" x14ac:dyDescent="0.25">
      <c r="A187" s="217">
        <f>'Состав ВТК'!B180</f>
        <v>0</v>
      </c>
      <c r="B187" s="290">
        <f>IFERROR(VLOOKUP($A187,Распределение!$B$13:$L$113,11,FALSE),"-")</f>
        <v>0</v>
      </c>
      <c r="C187" s="291" t="str">
        <f>IFERROR(IF(VLOOKUP($B187,Расценка!$H$3:$I$9,2,FALSE)="НС",Расценка!$T$11,Расценка!$T$12),"-")</f>
        <v>-</v>
      </c>
      <c r="D187" s="291">
        <f>IFERROR(INDEX(Распределение!$1:$1048576,MATCH($A187,Распределение!$B:$B,0),MATCH($D$8,Распределение!$9:$9,0)),"---")</f>
        <v>0</v>
      </c>
      <c r="E187" s="292">
        <f>IFERROR(SUMIFS('Трудозатраты членов ВТК'!$G$17:$G$117,'Трудозатраты членов ВТК'!$D$17:$D$117,A:A),"-")</f>
        <v>0</v>
      </c>
      <c r="F187" s="293">
        <f>IFERROR(SUMIFS('Трудозатраты членов ВТК'!$F$464:$F$713,'Трудозатраты членов ВТК'!$D$464:$D$713,A:A),"-")</f>
        <v>0</v>
      </c>
      <c r="G187" s="302"/>
      <c r="H187" s="295">
        <f t="shared" si="30"/>
        <v>0</v>
      </c>
      <c r="I187" s="296">
        <f>IFERROR(ROUND(IF('Состав ВТК'!$K180=справочник!$A$5,IF(AND('Расчет участников НИР'!$A187='Состав ВТК'!$B180,$I$10='Состав ВТК'!$I180),$F187*$D187*VLOOKUP('Расчет участников НИР'!$B187,Расценка!$C$3:$E$13,3,FALSE),0),0),2),"-")</f>
        <v>0</v>
      </c>
      <c r="J187" s="296">
        <f>IFERROR(ROUND(IF('Состав ВТК'!$K180=справочник!$A$5,IF(AND('Расчет участников НИР'!$A187='Состав ВТК'!$B180,$J$10='Состав ВТК'!$I180),$F187*$D187*VLOOKUP('Расчет участников НИР'!$B187,Расценка!$C$3:$E$13,3,FALSE),0),0),2),"-")</f>
        <v>0</v>
      </c>
      <c r="K187" s="296">
        <f>IFERROR(ROUND(IF('Состав ВТК'!$K180=справочник!$A$5,IF(AND('Расчет участников НИР'!$A187='Состав ВТК'!$B180,$K$10='Состав ВТК'!$I180),$F187*$D187*VLOOKUP('Расчет участников НИР'!$B187,Расценка!$C$3:$E$13,3,FALSE),0),0),2),"-")</f>
        <v>0</v>
      </c>
      <c r="L187" s="297"/>
      <c r="M187" s="295">
        <f t="shared" si="31"/>
        <v>0</v>
      </c>
      <c r="N187" s="298">
        <f>IFERROR(ROUND(IF('Состав ВТК'!$K180=справочник!$A$5,(IF(AND($A187='Состав ВТК'!$B180,$N$10=$C187),$F187*$D187*VLOOKUP($B187,Расценка!$H$3:$K$9,4,FALSE),0)),0),2),"-")</f>
        <v>0</v>
      </c>
      <c r="O187" s="298">
        <f>IFERROR(ROUND(IF('Состав ВТК'!$K180=справочник!$A$5,(IF(AND($A187='Состав ВТК'!$B180,$O$10=$C187),$F187*$D187*VLOOKUP($B187,Расценка!$H$3:$K$9,4,FALSE),0)),0),2),"-")</f>
        <v>0</v>
      </c>
      <c r="P187" s="299">
        <f t="shared" si="32"/>
        <v>0</v>
      </c>
      <c r="Q187" s="300">
        <f t="shared" si="28"/>
        <v>0</v>
      </c>
      <c r="R187" s="300">
        <f t="shared" si="29"/>
        <v>0</v>
      </c>
      <c r="S187" s="295">
        <f t="shared" si="33"/>
        <v>0</v>
      </c>
      <c r="T187" s="298">
        <f>IFERROR(ROUND(IF(AND('Расчет участников НИР'!$A187='Состав ВТК'!$B180,'Расчет участников НИР'!$T$10='Состав ВТК'!$I180),$E187,0),2),"-")</f>
        <v>0</v>
      </c>
      <c r="U187" s="298">
        <f>IFERROR(ROUND(IF(AND('Расчет участников НИР'!$A187='Состав ВТК'!$B180,'Расчет участников НИР'!$U$10='Состав ВТК'!$I180),$E187,0),2),"-")</f>
        <v>0</v>
      </c>
      <c r="V187" s="298">
        <f>IFERROR(ROUND(IF(AND('Расчет участников НИР'!$A187='Состав ВТК'!$B180,'Расчет участников НИР'!$V$10='Состав ВТК'!$I180),$E187,0),2),"-")</f>
        <v>0</v>
      </c>
      <c r="W187" s="301" t="str">
        <f t="shared" si="34"/>
        <v>-</v>
      </c>
      <c r="X187" s="301" t="str">
        <f t="shared" si="35"/>
        <v>-</v>
      </c>
      <c r="Y187" s="301" t="str">
        <f t="shared" si="36"/>
        <v>-</v>
      </c>
    </row>
    <row r="188" spans="1:25" x14ac:dyDescent="0.25">
      <c r="A188" s="217">
        <f>'Состав ВТК'!B181</f>
        <v>0</v>
      </c>
      <c r="B188" s="290">
        <f>IFERROR(VLOOKUP($A188,Распределение!$B$13:$L$113,11,FALSE),"-")</f>
        <v>0</v>
      </c>
      <c r="C188" s="291" t="str">
        <f>IFERROR(IF(VLOOKUP($B188,Расценка!$H$3:$I$9,2,FALSE)="НС",Расценка!$T$11,Расценка!$T$12),"-")</f>
        <v>-</v>
      </c>
      <c r="D188" s="291">
        <f>IFERROR(INDEX(Распределение!$1:$1048576,MATCH($A188,Распределение!$B:$B,0),MATCH($D$8,Распределение!$9:$9,0)),"---")</f>
        <v>0</v>
      </c>
      <c r="E188" s="292">
        <f>IFERROR(SUMIFS('Трудозатраты членов ВТК'!$G$17:$G$117,'Трудозатраты членов ВТК'!$D$17:$D$117,A:A),"-")</f>
        <v>0</v>
      </c>
      <c r="F188" s="293">
        <f>IFERROR(SUMIFS('Трудозатраты членов ВТК'!$F$464:$F$713,'Трудозатраты членов ВТК'!$D$464:$D$713,A:A),"-")</f>
        <v>0</v>
      </c>
      <c r="G188" s="302"/>
      <c r="H188" s="295">
        <f t="shared" si="30"/>
        <v>0</v>
      </c>
      <c r="I188" s="296">
        <f>IFERROR(ROUND(IF('Состав ВТК'!$K181=справочник!$A$5,IF(AND('Расчет участников НИР'!$A188='Состав ВТК'!$B181,$I$10='Состав ВТК'!$I181),$F188*$D188*VLOOKUP('Расчет участников НИР'!$B188,Расценка!$C$3:$E$13,3,FALSE),0),0),2),"-")</f>
        <v>0</v>
      </c>
      <c r="J188" s="296">
        <f>IFERROR(ROUND(IF('Состав ВТК'!$K181=справочник!$A$5,IF(AND('Расчет участников НИР'!$A188='Состав ВТК'!$B181,$J$10='Состав ВТК'!$I181),$F188*$D188*VLOOKUP('Расчет участников НИР'!$B188,Расценка!$C$3:$E$13,3,FALSE),0),0),2),"-")</f>
        <v>0</v>
      </c>
      <c r="K188" s="296">
        <f>IFERROR(ROUND(IF('Состав ВТК'!$K181=справочник!$A$5,IF(AND('Расчет участников НИР'!$A188='Состав ВТК'!$B181,$K$10='Состав ВТК'!$I181),$F188*$D188*VLOOKUP('Расчет участников НИР'!$B188,Расценка!$C$3:$E$13,3,FALSE),0),0),2),"-")</f>
        <v>0</v>
      </c>
      <c r="L188" s="297"/>
      <c r="M188" s="295">
        <f t="shared" si="31"/>
        <v>0</v>
      </c>
      <c r="N188" s="298">
        <f>IFERROR(ROUND(IF('Состав ВТК'!$K181=справочник!$A$5,(IF(AND($A188='Состав ВТК'!$B181,$N$10=$C188),$F188*$D188*VLOOKUP($B188,Расценка!$H$3:$K$9,4,FALSE),0)),0),2),"-")</f>
        <v>0</v>
      </c>
      <c r="O188" s="298">
        <f>IFERROR(ROUND(IF('Состав ВТК'!$K181=справочник!$A$5,(IF(AND($A188='Состав ВТК'!$B181,$O$10=$C188),$F188*$D188*VLOOKUP($B188,Расценка!$H$3:$K$9,4,FALSE),0)),0),2),"-")</f>
        <v>0</v>
      </c>
      <c r="P188" s="299">
        <f t="shared" si="32"/>
        <v>0</v>
      </c>
      <c r="Q188" s="300">
        <f t="shared" si="28"/>
        <v>0</v>
      </c>
      <c r="R188" s="300">
        <f t="shared" si="29"/>
        <v>0</v>
      </c>
      <c r="S188" s="295">
        <f t="shared" si="33"/>
        <v>0</v>
      </c>
      <c r="T188" s="298">
        <f>IFERROR(ROUND(IF(AND('Расчет участников НИР'!$A188='Состав ВТК'!$B181,'Расчет участников НИР'!$T$10='Состав ВТК'!$I181),$E188,0),2),"-")</f>
        <v>0</v>
      </c>
      <c r="U188" s="298">
        <f>IFERROR(ROUND(IF(AND('Расчет участников НИР'!$A188='Состав ВТК'!$B181,'Расчет участников НИР'!$U$10='Состав ВТК'!$I181),$E188,0),2),"-")</f>
        <v>0</v>
      </c>
      <c r="V188" s="298">
        <f>IFERROR(ROUND(IF(AND('Расчет участников НИР'!$A188='Состав ВТК'!$B181,'Расчет участников НИР'!$V$10='Состав ВТК'!$I181),$E188,0),2),"-")</f>
        <v>0</v>
      </c>
      <c r="W188" s="301" t="str">
        <f t="shared" si="34"/>
        <v>-</v>
      </c>
      <c r="X188" s="301" t="str">
        <f t="shared" si="35"/>
        <v>-</v>
      </c>
      <c r="Y188" s="301" t="str">
        <f t="shared" si="36"/>
        <v>-</v>
      </c>
    </row>
    <row r="189" spans="1:25" x14ac:dyDescent="0.25">
      <c r="A189" s="217">
        <f>'Состав ВТК'!B182</f>
        <v>0</v>
      </c>
      <c r="B189" s="290">
        <f>IFERROR(VLOOKUP($A189,Распределение!$B$13:$L$113,11,FALSE),"-")</f>
        <v>0</v>
      </c>
      <c r="C189" s="291" t="str">
        <f>IFERROR(IF(VLOOKUP($B189,Расценка!$H$3:$I$9,2,FALSE)="НС",Расценка!$T$11,Расценка!$T$12),"-")</f>
        <v>-</v>
      </c>
      <c r="D189" s="291">
        <f>IFERROR(INDEX(Распределение!$1:$1048576,MATCH($A189,Распределение!$B:$B,0),MATCH($D$8,Распределение!$9:$9,0)),"---")</f>
        <v>0</v>
      </c>
      <c r="E189" s="292">
        <f>IFERROR(SUMIFS('Трудозатраты членов ВТК'!$G$17:$G$117,'Трудозатраты членов ВТК'!$D$17:$D$117,A:A),"-")</f>
        <v>0</v>
      </c>
      <c r="F189" s="293">
        <f>IFERROR(SUMIFS('Трудозатраты членов ВТК'!$F$464:$F$713,'Трудозатраты членов ВТК'!$D$464:$D$713,A:A),"-")</f>
        <v>0</v>
      </c>
      <c r="G189" s="302"/>
      <c r="H189" s="295">
        <f t="shared" si="30"/>
        <v>0</v>
      </c>
      <c r="I189" s="296">
        <f>IFERROR(ROUND(IF('Состав ВТК'!$K182=справочник!$A$5,IF(AND('Расчет участников НИР'!$A189='Состав ВТК'!$B182,$I$10='Состав ВТК'!$I182),$F189*$D189*VLOOKUP('Расчет участников НИР'!$B189,Расценка!$C$3:$E$13,3,FALSE),0),0),2),"-")</f>
        <v>0</v>
      </c>
      <c r="J189" s="296">
        <f>IFERROR(ROUND(IF('Состав ВТК'!$K182=справочник!$A$5,IF(AND('Расчет участников НИР'!$A189='Состав ВТК'!$B182,$J$10='Состав ВТК'!$I182),$F189*$D189*VLOOKUP('Расчет участников НИР'!$B189,Расценка!$C$3:$E$13,3,FALSE),0),0),2),"-")</f>
        <v>0</v>
      </c>
      <c r="K189" s="296">
        <f>IFERROR(ROUND(IF('Состав ВТК'!$K182=справочник!$A$5,IF(AND('Расчет участников НИР'!$A189='Состав ВТК'!$B182,$K$10='Состав ВТК'!$I182),$F189*$D189*VLOOKUP('Расчет участников НИР'!$B189,Расценка!$C$3:$E$13,3,FALSE),0),0),2),"-")</f>
        <v>0</v>
      </c>
      <c r="L189" s="297"/>
      <c r="M189" s="295">
        <f t="shared" si="31"/>
        <v>0</v>
      </c>
      <c r="N189" s="298">
        <f>IFERROR(ROUND(IF('Состав ВТК'!$K182=справочник!$A$5,(IF(AND($A189='Состав ВТК'!$B182,$N$10=$C189),$F189*$D189*VLOOKUP($B189,Расценка!$H$3:$K$9,4,FALSE),0)),0),2),"-")</f>
        <v>0</v>
      </c>
      <c r="O189" s="298">
        <f>IFERROR(ROUND(IF('Состав ВТК'!$K182=справочник!$A$5,(IF(AND($A189='Состав ВТК'!$B182,$O$10=$C189),$F189*$D189*VLOOKUP($B189,Расценка!$H$3:$K$9,4,FALSE),0)),0),2),"-")</f>
        <v>0</v>
      </c>
      <c r="P189" s="299">
        <f t="shared" si="32"/>
        <v>0</v>
      </c>
      <c r="Q189" s="300">
        <f t="shared" si="28"/>
        <v>0</v>
      </c>
      <c r="R189" s="300">
        <f t="shared" si="29"/>
        <v>0</v>
      </c>
      <c r="S189" s="295">
        <f t="shared" si="33"/>
        <v>0</v>
      </c>
      <c r="T189" s="298">
        <f>IFERROR(ROUND(IF(AND('Расчет участников НИР'!$A189='Состав ВТК'!$B182,'Расчет участников НИР'!$T$10='Состав ВТК'!$I182),$E189,0),2),"-")</f>
        <v>0</v>
      </c>
      <c r="U189" s="298">
        <f>IFERROR(ROUND(IF(AND('Расчет участников НИР'!$A189='Состав ВТК'!$B182,'Расчет участников НИР'!$U$10='Состав ВТК'!$I182),$E189,0),2),"-")</f>
        <v>0</v>
      </c>
      <c r="V189" s="298">
        <f>IFERROR(ROUND(IF(AND('Расчет участников НИР'!$A189='Состав ВТК'!$B182,'Расчет участников НИР'!$V$10='Состав ВТК'!$I182),$E189,0),2),"-")</f>
        <v>0</v>
      </c>
      <c r="W189" s="301" t="str">
        <f t="shared" si="34"/>
        <v>-</v>
      </c>
      <c r="X189" s="301" t="str">
        <f t="shared" si="35"/>
        <v>-</v>
      </c>
      <c r="Y189" s="301" t="str">
        <f t="shared" si="36"/>
        <v>-</v>
      </c>
    </row>
    <row r="190" spans="1:25" x14ac:dyDescent="0.25">
      <c r="A190" s="217">
        <f>'Состав ВТК'!B183</f>
        <v>0</v>
      </c>
      <c r="B190" s="290">
        <f>IFERROR(VLOOKUP($A190,Распределение!$B$13:$L$113,11,FALSE),"-")</f>
        <v>0</v>
      </c>
      <c r="C190" s="291" t="str">
        <f>IFERROR(IF(VLOOKUP($B190,Расценка!$H$3:$I$9,2,FALSE)="НС",Расценка!$T$11,Расценка!$T$12),"-")</f>
        <v>-</v>
      </c>
      <c r="D190" s="291">
        <f>IFERROR(INDEX(Распределение!$1:$1048576,MATCH($A190,Распределение!$B:$B,0),MATCH($D$8,Распределение!$9:$9,0)),"---")</f>
        <v>0</v>
      </c>
      <c r="E190" s="292">
        <f>IFERROR(SUMIFS('Трудозатраты членов ВТК'!$G$17:$G$117,'Трудозатраты членов ВТК'!$D$17:$D$117,A:A),"-")</f>
        <v>0</v>
      </c>
      <c r="F190" s="293">
        <f>IFERROR(SUMIFS('Трудозатраты членов ВТК'!$F$464:$F$713,'Трудозатраты членов ВТК'!$D$464:$D$713,A:A),"-")</f>
        <v>0</v>
      </c>
      <c r="G190" s="302"/>
      <c r="H190" s="295">
        <f t="shared" si="30"/>
        <v>0</v>
      </c>
      <c r="I190" s="296">
        <f>IFERROR(ROUND(IF('Состав ВТК'!$K183=справочник!$A$5,IF(AND('Расчет участников НИР'!$A190='Состав ВТК'!$B183,$I$10='Состав ВТК'!$I183),$F190*$D190*VLOOKUP('Расчет участников НИР'!$B190,Расценка!$C$3:$E$13,3,FALSE),0),0),2),"-")</f>
        <v>0</v>
      </c>
      <c r="J190" s="296">
        <f>IFERROR(ROUND(IF('Состав ВТК'!$K183=справочник!$A$5,IF(AND('Расчет участников НИР'!$A190='Состав ВТК'!$B183,$J$10='Состав ВТК'!$I183),$F190*$D190*VLOOKUP('Расчет участников НИР'!$B190,Расценка!$C$3:$E$13,3,FALSE),0),0),2),"-")</f>
        <v>0</v>
      </c>
      <c r="K190" s="296">
        <f>IFERROR(ROUND(IF('Состав ВТК'!$K183=справочник!$A$5,IF(AND('Расчет участников НИР'!$A190='Состав ВТК'!$B183,$K$10='Состав ВТК'!$I183),$F190*$D190*VLOOKUP('Расчет участников НИР'!$B190,Расценка!$C$3:$E$13,3,FALSE),0),0),2),"-")</f>
        <v>0</v>
      </c>
      <c r="L190" s="297"/>
      <c r="M190" s="295">
        <f t="shared" si="31"/>
        <v>0</v>
      </c>
      <c r="N190" s="298">
        <f>IFERROR(ROUND(IF('Состав ВТК'!$K183=справочник!$A$5,(IF(AND($A190='Состав ВТК'!$B183,$N$10=$C190),$F190*$D190*VLOOKUP($B190,Расценка!$H$3:$K$9,4,FALSE),0)),0),2),"-")</f>
        <v>0</v>
      </c>
      <c r="O190" s="298">
        <f>IFERROR(ROUND(IF('Состав ВТК'!$K183=справочник!$A$5,(IF(AND($A190='Состав ВТК'!$B183,$O$10=$C190),$F190*$D190*VLOOKUP($B190,Расценка!$H$3:$K$9,4,FALSE),0)),0),2),"-")</f>
        <v>0</v>
      </c>
      <c r="P190" s="299">
        <f t="shared" si="32"/>
        <v>0</v>
      </c>
      <c r="Q190" s="300">
        <f t="shared" si="28"/>
        <v>0</v>
      </c>
      <c r="R190" s="300">
        <f t="shared" si="29"/>
        <v>0</v>
      </c>
      <c r="S190" s="295">
        <f t="shared" si="33"/>
        <v>0</v>
      </c>
      <c r="T190" s="298">
        <f>IFERROR(ROUND(IF(AND('Расчет участников НИР'!$A190='Состав ВТК'!$B183,'Расчет участников НИР'!$T$10='Состав ВТК'!$I183),$E190,0),2),"-")</f>
        <v>0</v>
      </c>
      <c r="U190" s="298">
        <f>IFERROR(ROUND(IF(AND('Расчет участников НИР'!$A190='Состав ВТК'!$B183,'Расчет участников НИР'!$U$10='Состав ВТК'!$I183),$E190,0),2),"-")</f>
        <v>0</v>
      </c>
      <c r="V190" s="298">
        <f>IFERROR(ROUND(IF(AND('Расчет участников НИР'!$A190='Состав ВТК'!$B183,'Расчет участников НИР'!$V$10='Состав ВТК'!$I183),$E190,0),2),"-")</f>
        <v>0</v>
      </c>
      <c r="W190" s="301" t="str">
        <f t="shared" si="34"/>
        <v>-</v>
      </c>
      <c r="X190" s="301" t="str">
        <f t="shared" si="35"/>
        <v>-</v>
      </c>
      <c r="Y190" s="301" t="str">
        <f t="shared" si="36"/>
        <v>-</v>
      </c>
    </row>
    <row r="191" spans="1:25" x14ac:dyDescent="0.25">
      <c r="A191" s="217">
        <f>'Состав ВТК'!B184</f>
        <v>0</v>
      </c>
      <c r="B191" s="290">
        <f>IFERROR(VLOOKUP($A191,Распределение!$B$13:$L$113,11,FALSE),"-")</f>
        <v>0</v>
      </c>
      <c r="C191" s="291" t="str">
        <f>IFERROR(IF(VLOOKUP($B191,Расценка!$H$3:$I$9,2,FALSE)="НС",Расценка!$T$11,Расценка!$T$12),"-")</f>
        <v>-</v>
      </c>
      <c r="D191" s="291">
        <f>IFERROR(INDEX(Распределение!$1:$1048576,MATCH($A191,Распределение!$B:$B,0),MATCH($D$8,Распределение!$9:$9,0)),"---")</f>
        <v>0</v>
      </c>
      <c r="E191" s="292">
        <f>IFERROR(SUMIFS('Трудозатраты членов ВТК'!$G$17:$G$117,'Трудозатраты членов ВТК'!$D$17:$D$117,A:A),"-")</f>
        <v>0</v>
      </c>
      <c r="F191" s="293">
        <f>IFERROR(SUMIFS('Трудозатраты членов ВТК'!$F$464:$F$713,'Трудозатраты членов ВТК'!$D$464:$D$713,A:A),"-")</f>
        <v>0</v>
      </c>
      <c r="G191" s="302"/>
      <c r="H191" s="295">
        <f t="shared" si="30"/>
        <v>0</v>
      </c>
      <c r="I191" s="296">
        <f>IFERROR(ROUND(IF('Состав ВТК'!$K184=справочник!$A$5,IF(AND('Расчет участников НИР'!$A191='Состав ВТК'!$B184,$I$10='Состав ВТК'!$I184),$F191*$D191*VLOOKUP('Расчет участников НИР'!$B191,Расценка!$C$3:$E$13,3,FALSE),0),0),2),"-")</f>
        <v>0</v>
      </c>
      <c r="J191" s="296">
        <f>IFERROR(ROUND(IF('Состав ВТК'!$K184=справочник!$A$5,IF(AND('Расчет участников НИР'!$A191='Состав ВТК'!$B184,$J$10='Состав ВТК'!$I184),$F191*$D191*VLOOKUP('Расчет участников НИР'!$B191,Расценка!$C$3:$E$13,3,FALSE),0),0),2),"-")</f>
        <v>0</v>
      </c>
      <c r="K191" s="296">
        <f>IFERROR(ROUND(IF('Состав ВТК'!$K184=справочник!$A$5,IF(AND('Расчет участников НИР'!$A191='Состав ВТК'!$B184,$K$10='Состав ВТК'!$I184),$F191*$D191*VLOOKUP('Расчет участников НИР'!$B191,Расценка!$C$3:$E$13,3,FALSE),0),0),2),"-")</f>
        <v>0</v>
      </c>
      <c r="L191" s="297"/>
      <c r="M191" s="295">
        <f t="shared" si="31"/>
        <v>0</v>
      </c>
      <c r="N191" s="298">
        <f>IFERROR(ROUND(IF('Состав ВТК'!$K184=справочник!$A$5,(IF(AND($A191='Состав ВТК'!$B184,$N$10=$C191),$F191*$D191*VLOOKUP($B191,Расценка!$H$3:$K$9,4,FALSE),0)),0),2),"-")</f>
        <v>0</v>
      </c>
      <c r="O191" s="298">
        <f>IFERROR(ROUND(IF('Состав ВТК'!$K184=справочник!$A$5,(IF(AND($A191='Состав ВТК'!$B184,$O$10=$C191),$F191*$D191*VLOOKUP($B191,Расценка!$H$3:$K$9,4,FALSE),0)),0),2),"-")</f>
        <v>0</v>
      </c>
      <c r="P191" s="299">
        <f t="shared" si="32"/>
        <v>0</v>
      </c>
      <c r="Q191" s="300">
        <f t="shared" si="28"/>
        <v>0</v>
      </c>
      <c r="R191" s="300">
        <f t="shared" si="29"/>
        <v>0</v>
      </c>
      <c r="S191" s="295">
        <f t="shared" si="33"/>
        <v>0</v>
      </c>
      <c r="T191" s="298">
        <f>IFERROR(ROUND(IF(AND('Расчет участников НИР'!$A191='Состав ВТК'!$B184,'Расчет участников НИР'!$T$10='Состав ВТК'!$I184),$E191,0),2),"-")</f>
        <v>0</v>
      </c>
      <c r="U191" s="298">
        <f>IFERROR(ROUND(IF(AND('Расчет участников НИР'!$A191='Состав ВТК'!$B184,'Расчет участников НИР'!$U$10='Состав ВТК'!$I184),$E191,0),2),"-")</f>
        <v>0</v>
      </c>
      <c r="V191" s="298">
        <f>IFERROR(ROUND(IF(AND('Расчет участников НИР'!$A191='Состав ВТК'!$B184,'Расчет участников НИР'!$V$10='Состав ВТК'!$I184),$E191,0),2),"-")</f>
        <v>0</v>
      </c>
      <c r="W191" s="301" t="str">
        <f t="shared" si="34"/>
        <v>-</v>
      </c>
      <c r="X191" s="301" t="str">
        <f t="shared" si="35"/>
        <v>-</v>
      </c>
      <c r="Y191" s="301" t="str">
        <f t="shared" si="36"/>
        <v>-</v>
      </c>
    </row>
    <row r="192" spans="1:25" x14ac:dyDescent="0.25">
      <c r="A192" s="217">
        <f>'Состав ВТК'!B185</f>
        <v>0</v>
      </c>
      <c r="B192" s="290">
        <f>IFERROR(VLOOKUP($A192,Распределение!$B$13:$L$113,11,FALSE),"-")</f>
        <v>0</v>
      </c>
      <c r="C192" s="291" t="str">
        <f>IFERROR(IF(VLOOKUP($B192,Расценка!$H$3:$I$9,2,FALSE)="НС",Расценка!$T$11,Расценка!$T$12),"-")</f>
        <v>-</v>
      </c>
      <c r="D192" s="291">
        <f>IFERROR(INDEX(Распределение!$1:$1048576,MATCH($A192,Распределение!$B:$B,0),MATCH($D$8,Распределение!$9:$9,0)),"---")</f>
        <v>0</v>
      </c>
      <c r="E192" s="292">
        <f>IFERROR(SUMIFS('Трудозатраты членов ВТК'!$G$17:$G$117,'Трудозатраты членов ВТК'!$D$17:$D$117,A:A),"-")</f>
        <v>0</v>
      </c>
      <c r="F192" s="293">
        <f>IFERROR(SUMIFS('Трудозатраты членов ВТК'!$F$464:$F$713,'Трудозатраты членов ВТК'!$D$464:$D$713,A:A),"-")</f>
        <v>0</v>
      </c>
      <c r="G192" s="302"/>
      <c r="H192" s="295">
        <f t="shared" si="30"/>
        <v>0</v>
      </c>
      <c r="I192" s="296">
        <f>IFERROR(ROUND(IF('Состав ВТК'!$K185=справочник!$A$5,IF(AND('Расчет участников НИР'!$A192='Состав ВТК'!$B185,$I$10='Состав ВТК'!$I185),$F192*$D192*VLOOKUP('Расчет участников НИР'!$B192,Расценка!$C$3:$E$13,3,FALSE),0),0),2),"-")</f>
        <v>0</v>
      </c>
      <c r="J192" s="296">
        <f>IFERROR(ROUND(IF('Состав ВТК'!$K185=справочник!$A$5,IF(AND('Расчет участников НИР'!$A192='Состав ВТК'!$B185,$J$10='Состав ВТК'!$I185),$F192*$D192*VLOOKUP('Расчет участников НИР'!$B192,Расценка!$C$3:$E$13,3,FALSE),0),0),2),"-")</f>
        <v>0</v>
      </c>
      <c r="K192" s="296">
        <f>IFERROR(ROUND(IF('Состав ВТК'!$K185=справочник!$A$5,IF(AND('Расчет участников НИР'!$A192='Состав ВТК'!$B185,$K$10='Состав ВТК'!$I185),$F192*$D192*VLOOKUP('Расчет участников НИР'!$B192,Расценка!$C$3:$E$13,3,FALSE),0),0),2),"-")</f>
        <v>0</v>
      </c>
      <c r="L192" s="297"/>
      <c r="M192" s="295">
        <f t="shared" si="31"/>
        <v>0</v>
      </c>
      <c r="N192" s="298">
        <f>IFERROR(ROUND(IF('Состав ВТК'!$K185=справочник!$A$5,(IF(AND($A192='Состав ВТК'!$B185,$N$10=$C192),$F192*$D192*VLOOKUP($B192,Расценка!$H$3:$K$9,4,FALSE),0)),0),2),"-")</f>
        <v>0</v>
      </c>
      <c r="O192" s="298">
        <f>IFERROR(ROUND(IF('Состав ВТК'!$K185=справочник!$A$5,(IF(AND($A192='Состав ВТК'!$B185,$O$10=$C192),$F192*$D192*VLOOKUP($B192,Расценка!$H$3:$K$9,4,FALSE),0)),0),2),"-")</f>
        <v>0</v>
      </c>
      <c r="P192" s="299">
        <f t="shared" si="32"/>
        <v>0</v>
      </c>
      <c r="Q192" s="300">
        <f t="shared" si="28"/>
        <v>0</v>
      </c>
      <c r="R192" s="300">
        <f t="shared" si="29"/>
        <v>0</v>
      </c>
      <c r="S192" s="295">
        <f t="shared" si="33"/>
        <v>0</v>
      </c>
      <c r="T192" s="298">
        <f>IFERROR(ROUND(IF(AND('Расчет участников НИР'!$A192='Состав ВТК'!$B185,'Расчет участников НИР'!$T$10='Состав ВТК'!$I185),$E192,0),2),"-")</f>
        <v>0</v>
      </c>
      <c r="U192" s="298">
        <f>IFERROR(ROUND(IF(AND('Расчет участников НИР'!$A192='Состав ВТК'!$B185,'Расчет участников НИР'!$U$10='Состав ВТК'!$I185),$E192,0),2),"-")</f>
        <v>0</v>
      </c>
      <c r="V192" s="298">
        <f>IFERROR(ROUND(IF(AND('Расчет участников НИР'!$A192='Состав ВТК'!$B185,'Расчет участников НИР'!$V$10='Состав ВТК'!$I185),$E192,0),2),"-")</f>
        <v>0</v>
      </c>
      <c r="W192" s="301" t="str">
        <f t="shared" si="34"/>
        <v>-</v>
      </c>
      <c r="X192" s="301" t="str">
        <f t="shared" si="35"/>
        <v>-</v>
      </c>
      <c r="Y192" s="301" t="str">
        <f t="shared" si="36"/>
        <v>-</v>
      </c>
    </row>
    <row r="193" spans="1:25" x14ac:dyDescent="0.25">
      <c r="A193" s="217">
        <f>'Состав ВТК'!B186</f>
        <v>0</v>
      </c>
      <c r="B193" s="290">
        <f>IFERROR(VLOOKUP($A193,Распределение!$B$13:$L$113,11,FALSE),"-")</f>
        <v>0</v>
      </c>
      <c r="C193" s="291" t="str">
        <f>IFERROR(IF(VLOOKUP($B193,Расценка!$H$3:$I$9,2,FALSE)="НС",Расценка!$T$11,Расценка!$T$12),"-")</f>
        <v>-</v>
      </c>
      <c r="D193" s="291">
        <f>IFERROR(INDEX(Распределение!$1:$1048576,MATCH($A193,Распределение!$B:$B,0),MATCH($D$8,Распределение!$9:$9,0)),"---")</f>
        <v>0</v>
      </c>
      <c r="E193" s="292">
        <f>IFERROR(SUMIFS('Трудозатраты членов ВТК'!$G$17:$G$117,'Трудозатраты членов ВТК'!$D$17:$D$117,A:A),"-")</f>
        <v>0</v>
      </c>
      <c r="F193" s="293">
        <f>IFERROR(SUMIFS('Трудозатраты членов ВТК'!$F$464:$F$713,'Трудозатраты членов ВТК'!$D$464:$D$713,A:A),"-")</f>
        <v>0</v>
      </c>
      <c r="G193" s="302"/>
      <c r="H193" s="295">
        <f t="shared" si="30"/>
        <v>0</v>
      </c>
      <c r="I193" s="296">
        <f>IFERROR(ROUND(IF('Состав ВТК'!$K186=справочник!$A$5,IF(AND('Расчет участников НИР'!$A193='Состав ВТК'!$B186,$I$10='Состав ВТК'!$I186),$F193*$D193*VLOOKUP('Расчет участников НИР'!$B193,Расценка!$C$3:$E$13,3,FALSE),0),0),2),"-")</f>
        <v>0</v>
      </c>
      <c r="J193" s="296">
        <f>IFERROR(ROUND(IF('Состав ВТК'!$K186=справочник!$A$5,IF(AND('Расчет участников НИР'!$A193='Состав ВТК'!$B186,$J$10='Состав ВТК'!$I186),$F193*$D193*VLOOKUP('Расчет участников НИР'!$B193,Расценка!$C$3:$E$13,3,FALSE),0),0),2),"-")</f>
        <v>0</v>
      </c>
      <c r="K193" s="296">
        <f>IFERROR(ROUND(IF('Состав ВТК'!$K186=справочник!$A$5,IF(AND('Расчет участников НИР'!$A193='Состав ВТК'!$B186,$K$10='Состав ВТК'!$I186),$F193*$D193*VLOOKUP('Расчет участников НИР'!$B193,Расценка!$C$3:$E$13,3,FALSE),0),0),2),"-")</f>
        <v>0</v>
      </c>
      <c r="L193" s="297"/>
      <c r="M193" s="295">
        <f t="shared" si="31"/>
        <v>0</v>
      </c>
      <c r="N193" s="298">
        <f>IFERROR(ROUND(IF('Состав ВТК'!$K186=справочник!$A$5,(IF(AND($A193='Состав ВТК'!$B186,$N$10=$C193),$F193*$D193*VLOOKUP($B193,Расценка!$H$3:$K$9,4,FALSE),0)),0),2),"-")</f>
        <v>0</v>
      </c>
      <c r="O193" s="298">
        <f>IFERROR(ROUND(IF('Состав ВТК'!$K186=справочник!$A$5,(IF(AND($A193='Состав ВТК'!$B186,$O$10=$C193),$F193*$D193*VLOOKUP($B193,Расценка!$H$3:$K$9,4,FALSE),0)),0),2),"-")</f>
        <v>0</v>
      </c>
      <c r="P193" s="299">
        <f t="shared" si="32"/>
        <v>0</v>
      </c>
      <c r="Q193" s="300">
        <f t="shared" si="28"/>
        <v>0</v>
      </c>
      <c r="R193" s="300">
        <f t="shared" si="29"/>
        <v>0</v>
      </c>
      <c r="S193" s="295">
        <f t="shared" si="33"/>
        <v>0</v>
      </c>
      <c r="T193" s="298">
        <f>IFERROR(ROUND(IF(AND('Расчет участников НИР'!$A193='Состав ВТК'!$B186,'Расчет участников НИР'!$T$10='Состав ВТК'!$I186),$E193,0),2),"-")</f>
        <v>0</v>
      </c>
      <c r="U193" s="298">
        <f>IFERROR(ROUND(IF(AND('Расчет участников НИР'!$A193='Состав ВТК'!$B186,'Расчет участников НИР'!$U$10='Состав ВТК'!$I186),$E193,0),2),"-")</f>
        <v>0</v>
      </c>
      <c r="V193" s="298">
        <f>IFERROR(ROUND(IF(AND('Расчет участников НИР'!$A193='Состав ВТК'!$B186,'Расчет участников НИР'!$V$10='Состав ВТК'!$I186),$E193,0),2),"-")</f>
        <v>0</v>
      </c>
      <c r="W193" s="301" t="str">
        <f t="shared" si="34"/>
        <v>-</v>
      </c>
      <c r="X193" s="301" t="str">
        <f t="shared" si="35"/>
        <v>-</v>
      </c>
      <c r="Y193" s="301" t="str">
        <f t="shared" si="36"/>
        <v>-</v>
      </c>
    </row>
    <row r="194" spans="1:25" x14ac:dyDescent="0.25">
      <c r="A194" s="217">
        <f>'Состав ВТК'!B187</f>
        <v>0</v>
      </c>
      <c r="B194" s="290">
        <f>IFERROR(VLOOKUP($A194,Распределение!$B$13:$L$113,11,FALSE),"-")</f>
        <v>0</v>
      </c>
      <c r="C194" s="291" t="str">
        <f>IFERROR(IF(VLOOKUP($B194,Расценка!$H$3:$I$9,2,FALSE)="НС",Расценка!$T$11,Расценка!$T$12),"-")</f>
        <v>-</v>
      </c>
      <c r="D194" s="291">
        <f>IFERROR(INDEX(Распределение!$1:$1048576,MATCH($A194,Распределение!$B:$B,0),MATCH($D$8,Распределение!$9:$9,0)),"---")</f>
        <v>0</v>
      </c>
      <c r="E194" s="292">
        <f>IFERROR(SUMIFS('Трудозатраты членов ВТК'!$G$17:$G$117,'Трудозатраты членов ВТК'!$D$17:$D$117,A:A),"-")</f>
        <v>0</v>
      </c>
      <c r="F194" s="293">
        <f>IFERROR(SUMIFS('Трудозатраты членов ВТК'!$F$464:$F$713,'Трудозатраты членов ВТК'!$D$464:$D$713,A:A),"-")</f>
        <v>0</v>
      </c>
      <c r="G194" s="302"/>
      <c r="H194" s="295">
        <f t="shared" si="30"/>
        <v>0</v>
      </c>
      <c r="I194" s="296">
        <f>IFERROR(ROUND(IF('Состав ВТК'!$K187=справочник!$A$5,IF(AND('Расчет участников НИР'!$A194='Состав ВТК'!$B187,$I$10='Состав ВТК'!$I187),$F194*$D194*VLOOKUP('Расчет участников НИР'!$B194,Расценка!$C$3:$E$13,3,FALSE),0),0),2),"-")</f>
        <v>0</v>
      </c>
      <c r="J194" s="296">
        <f>IFERROR(ROUND(IF('Состав ВТК'!$K187=справочник!$A$5,IF(AND('Расчет участников НИР'!$A194='Состав ВТК'!$B187,$J$10='Состав ВТК'!$I187),$F194*$D194*VLOOKUP('Расчет участников НИР'!$B194,Расценка!$C$3:$E$13,3,FALSE),0),0),2),"-")</f>
        <v>0</v>
      </c>
      <c r="K194" s="296">
        <f>IFERROR(ROUND(IF('Состав ВТК'!$K187=справочник!$A$5,IF(AND('Расчет участников НИР'!$A194='Состав ВТК'!$B187,$K$10='Состав ВТК'!$I187),$F194*$D194*VLOOKUP('Расчет участников НИР'!$B194,Расценка!$C$3:$E$13,3,FALSE),0),0),2),"-")</f>
        <v>0</v>
      </c>
      <c r="L194" s="297"/>
      <c r="M194" s="295">
        <f t="shared" si="31"/>
        <v>0</v>
      </c>
      <c r="N194" s="298">
        <f>IFERROR(ROUND(IF('Состав ВТК'!$K187=справочник!$A$5,(IF(AND($A194='Состав ВТК'!$B187,$N$10=$C194),$F194*$D194*VLOOKUP($B194,Расценка!$H$3:$K$9,4,FALSE),0)),0),2),"-")</f>
        <v>0</v>
      </c>
      <c r="O194" s="298">
        <f>IFERROR(ROUND(IF('Состав ВТК'!$K187=справочник!$A$5,(IF(AND($A194='Состав ВТК'!$B187,$O$10=$C194),$F194*$D194*VLOOKUP($B194,Расценка!$H$3:$K$9,4,FALSE),0)),0),2),"-")</f>
        <v>0</v>
      </c>
      <c r="P194" s="299">
        <f t="shared" si="32"/>
        <v>0</v>
      </c>
      <c r="Q194" s="300">
        <f t="shared" si="28"/>
        <v>0</v>
      </c>
      <c r="R194" s="300">
        <f t="shared" si="29"/>
        <v>0</v>
      </c>
      <c r="S194" s="295">
        <f t="shared" si="33"/>
        <v>0</v>
      </c>
      <c r="T194" s="298">
        <f>IFERROR(ROUND(IF(AND('Расчет участников НИР'!$A194='Состав ВТК'!$B187,'Расчет участников НИР'!$T$10='Состав ВТК'!$I187),$E194,0),2),"-")</f>
        <v>0</v>
      </c>
      <c r="U194" s="298">
        <f>IFERROR(ROUND(IF(AND('Расчет участников НИР'!$A194='Состав ВТК'!$B187,'Расчет участников НИР'!$U$10='Состав ВТК'!$I187),$E194,0),2),"-")</f>
        <v>0</v>
      </c>
      <c r="V194" s="298">
        <f>IFERROR(ROUND(IF(AND('Расчет участников НИР'!$A194='Состав ВТК'!$B187,'Расчет участников НИР'!$V$10='Состав ВТК'!$I187),$E194,0),2),"-")</f>
        <v>0</v>
      </c>
      <c r="W194" s="301" t="str">
        <f t="shared" si="34"/>
        <v>-</v>
      </c>
      <c r="X194" s="301" t="str">
        <f t="shared" si="35"/>
        <v>-</v>
      </c>
      <c r="Y194" s="301" t="str">
        <f t="shared" si="36"/>
        <v>-</v>
      </c>
    </row>
    <row r="195" spans="1:25" x14ac:dyDescent="0.25">
      <c r="A195" s="217">
        <f>'Состав ВТК'!B188</f>
        <v>0</v>
      </c>
      <c r="B195" s="290">
        <f>IFERROR(VLOOKUP($A195,Распределение!$B$13:$L$113,11,FALSE),"-")</f>
        <v>0</v>
      </c>
      <c r="C195" s="291" t="str">
        <f>IFERROR(IF(VLOOKUP($B195,Расценка!$H$3:$I$9,2,FALSE)="НС",Расценка!$T$11,Расценка!$T$12),"-")</f>
        <v>-</v>
      </c>
      <c r="D195" s="291">
        <f>IFERROR(INDEX(Распределение!$1:$1048576,MATCH($A195,Распределение!$B:$B,0),MATCH($D$8,Распределение!$9:$9,0)),"---")</f>
        <v>0</v>
      </c>
      <c r="E195" s="292">
        <f>IFERROR(SUMIFS('Трудозатраты членов ВТК'!$G$17:$G$117,'Трудозатраты членов ВТК'!$D$17:$D$117,A:A),"-")</f>
        <v>0</v>
      </c>
      <c r="F195" s="293">
        <f>IFERROR(SUMIFS('Трудозатраты членов ВТК'!$F$464:$F$713,'Трудозатраты членов ВТК'!$D$464:$D$713,A:A),"-")</f>
        <v>0</v>
      </c>
      <c r="G195" s="302"/>
      <c r="H195" s="295">
        <f t="shared" si="30"/>
        <v>0</v>
      </c>
      <c r="I195" s="296">
        <f>IFERROR(ROUND(IF('Состав ВТК'!$K188=справочник!$A$5,IF(AND('Расчет участников НИР'!$A195='Состав ВТК'!$B188,$I$10='Состав ВТК'!$I188),$F195*$D195*VLOOKUP('Расчет участников НИР'!$B195,Расценка!$C$3:$E$13,3,FALSE),0),0),2),"-")</f>
        <v>0</v>
      </c>
      <c r="J195" s="296">
        <f>IFERROR(ROUND(IF('Состав ВТК'!$K188=справочник!$A$5,IF(AND('Расчет участников НИР'!$A195='Состав ВТК'!$B188,$J$10='Состав ВТК'!$I188),$F195*$D195*VLOOKUP('Расчет участников НИР'!$B195,Расценка!$C$3:$E$13,3,FALSE),0),0),2),"-")</f>
        <v>0</v>
      </c>
      <c r="K195" s="296">
        <f>IFERROR(ROUND(IF('Состав ВТК'!$K188=справочник!$A$5,IF(AND('Расчет участников НИР'!$A195='Состав ВТК'!$B188,$K$10='Состав ВТК'!$I188),$F195*$D195*VLOOKUP('Расчет участников НИР'!$B195,Расценка!$C$3:$E$13,3,FALSE),0),0),2),"-")</f>
        <v>0</v>
      </c>
      <c r="L195" s="297"/>
      <c r="M195" s="295">
        <f t="shared" si="31"/>
        <v>0</v>
      </c>
      <c r="N195" s="298">
        <f>IFERROR(ROUND(IF('Состав ВТК'!$K188=справочник!$A$5,(IF(AND($A195='Состав ВТК'!$B188,$N$10=$C195),$F195*$D195*VLOOKUP($B195,Расценка!$H$3:$K$9,4,FALSE),0)),0),2),"-")</f>
        <v>0</v>
      </c>
      <c r="O195" s="298">
        <f>IFERROR(ROUND(IF('Состав ВТК'!$K188=справочник!$A$5,(IF(AND($A195='Состав ВТК'!$B188,$O$10=$C195),$F195*$D195*VLOOKUP($B195,Расценка!$H$3:$K$9,4,FALSE),0)),0),2),"-")</f>
        <v>0</v>
      </c>
      <c r="P195" s="299">
        <f t="shared" si="32"/>
        <v>0</v>
      </c>
      <c r="Q195" s="300">
        <f t="shared" si="28"/>
        <v>0</v>
      </c>
      <c r="R195" s="300">
        <f t="shared" si="29"/>
        <v>0</v>
      </c>
      <c r="S195" s="295">
        <f t="shared" si="33"/>
        <v>0</v>
      </c>
      <c r="T195" s="298">
        <f>IFERROR(ROUND(IF(AND('Расчет участников НИР'!$A195='Состав ВТК'!$B188,'Расчет участников НИР'!$T$10='Состав ВТК'!$I188),$E195,0),2),"-")</f>
        <v>0</v>
      </c>
      <c r="U195" s="298">
        <f>IFERROR(ROUND(IF(AND('Расчет участников НИР'!$A195='Состав ВТК'!$B188,'Расчет участников НИР'!$U$10='Состав ВТК'!$I188),$E195,0),2),"-")</f>
        <v>0</v>
      </c>
      <c r="V195" s="298">
        <f>IFERROR(ROUND(IF(AND('Расчет участников НИР'!$A195='Состав ВТК'!$B188,'Расчет участников НИР'!$V$10='Состав ВТК'!$I188),$E195,0),2),"-")</f>
        <v>0</v>
      </c>
      <c r="W195" s="301" t="str">
        <f t="shared" si="34"/>
        <v>-</v>
      </c>
      <c r="X195" s="301" t="str">
        <f t="shared" si="35"/>
        <v>-</v>
      </c>
      <c r="Y195" s="301" t="str">
        <f t="shared" si="36"/>
        <v>-</v>
      </c>
    </row>
    <row r="196" spans="1:25" x14ac:dyDescent="0.25">
      <c r="A196" s="217">
        <f>'Состав ВТК'!B189</f>
        <v>0</v>
      </c>
      <c r="B196" s="290">
        <f>IFERROR(VLOOKUP($A196,Распределение!$B$13:$L$113,11,FALSE),"-")</f>
        <v>0</v>
      </c>
      <c r="C196" s="291" t="str">
        <f>IFERROR(IF(VLOOKUP($B196,Расценка!$H$3:$I$9,2,FALSE)="НС",Расценка!$T$11,Расценка!$T$12),"-")</f>
        <v>-</v>
      </c>
      <c r="D196" s="291">
        <f>IFERROR(INDEX(Распределение!$1:$1048576,MATCH($A196,Распределение!$B:$B,0),MATCH($D$8,Распределение!$9:$9,0)),"---")</f>
        <v>0</v>
      </c>
      <c r="E196" s="292">
        <f>IFERROR(SUMIFS('Трудозатраты членов ВТК'!$G$17:$G$117,'Трудозатраты членов ВТК'!$D$17:$D$117,A:A),"-")</f>
        <v>0</v>
      </c>
      <c r="F196" s="293">
        <f>IFERROR(SUMIFS('Трудозатраты членов ВТК'!$F$464:$F$713,'Трудозатраты членов ВТК'!$D$464:$D$713,A:A),"-")</f>
        <v>0</v>
      </c>
      <c r="G196" s="302"/>
      <c r="H196" s="295">
        <f t="shared" si="30"/>
        <v>0</v>
      </c>
      <c r="I196" s="296">
        <f>IFERROR(ROUND(IF('Состав ВТК'!$K189=справочник!$A$5,IF(AND('Расчет участников НИР'!$A196='Состав ВТК'!$B189,$I$10='Состав ВТК'!$I189),$F196*$D196*VLOOKUP('Расчет участников НИР'!$B196,Расценка!$C$3:$E$13,3,FALSE),0),0),2),"-")</f>
        <v>0</v>
      </c>
      <c r="J196" s="296">
        <f>IFERROR(ROUND(IF('Состав ВТК'!$K189=справочник!$A$5,IF(AND('Расчет участников НИР'!$A196='Состав ВТК'!$B189,$J$10='Состав ВТК'!$I189),$F196*$D196*VLOOKUP('Расчет участников НИР'!$B196,Расценка!$C$3:$E$13,3,FALSE),0),0),2),"-")</f>
        <v>0</v>
      </c>
      <c r="K196" s="296">
        <f>IFERROR(ROUND(IF('Состав ВТК'!$K189=справочник!$A$5,IF(AND('Расчет участников НИР'!$A196='Состав ВТК'!$B189,$K$10='Состав ВТК'!$I189),$F196*$D196*VLOOKUP('Расчет участников НИР'!$B196,Расценка!$C$3:$E$13,3,FALSE),0),0),2),"-")</f>
        <v>0</v>
      </c>
      <c r="L196" s="297"/>
      <c r="M196" s="295">
        <f t="shared" si="31"/>
        <v>0</v>
      </c>
      <c r="N196" s="298">
        <f>IFERROR(ROUND(IF('Состав ВТК'!$K189=справочник!$A$5,(IF(AND($A196='Состав ВТК'!$B189,$N$10=$C196),$F196*$D196*VLOOKUP($B196,Расценка!$H$3:$K$9,4,FALSE),0)),0),2),"-")</f>
        <v>0</v>
      </c>
      <c r="O196" s="298">
        <f>IFERROR(ROUND(IF('Состав ВТК'!$K189=справочник!$A$5,(IF(AND($A196='Состав ВТК'!$B189,$O$10=$C196),$F196*$D196*VLOOKUP($B196,Расценка!$H$3:$K$9,4,FALSE),0)),0),2),"-")</f>
        <v>0</v>
      </c>
      <c r="P196" s="299">
        <f t="shared" si="32"/>
        <v>0</v>
      </c>
      <c r="Q196" s="300">
        <f t="shared" si="28"/>
        <v>0</v>
      </c>
      <c r="R196" s="300">
        <f t="shared" si="29"/>
        <v>0</v>
      </c>
      <c r="S196" s="295">
        <f t="shared" si="33"/>
        <v>0</v>
      </c>
      <c r="T196" s="298">
        <f>IFERROR(ROUND(IF(AND('Расчет участников НИР'!$A196='Состав ВТК'!$B189,'Расчет участников НИР'!$T$10='Состав ВТК'!$I189),$E196,0),2),"-")</f>
        <v>0</v>
      </c>
      <c r="U196" s="298">
        <f>IFERROR(ROUND(IF(AND('Расчет участников НИР'!$A196='Состав ВТК'!$B189,'Расчет участников НИР'!$U$10='Состав ВТК'!$I189),$E196,0),2),"-")</f>
        <v>0</v>
      </c>
      <c r="V196" s="298">
        <f>IFERROR(ROUND(IF(AND('Расчет участников НИР'!$A196='Состав ВТК'!$B189,'Расчет участников НИР'!$V$10='Состав ВТК'!$I189),$E196,0),2),"-")</f>
        <v>0</v>
      </c>
      <c r="W196" s="301" t="str">
        <f t="shared" si="34"/>
        <v>-</v>
      </c>
      <c r="X196" s="301" t="str">
        <f t="shared" si="35"/>
        <v>-</v>
      </c>
      <c r="Y196" s="301" t="str">
        <f t="shared" si="36"/>
        <v>-</v>
      </c>
    </row>
    <row r="197" spans="1:25" x14ac:dyDescent="0.25">
      <c r="A197" s="217">
        <f>'Состав ВТК'!B190</f>
        <v>0</v>
      </c>
      <c r="B197" s="290">
        <f>IFERROR(VLOOKUP($A197,Распределение!$B$13:$L$113,11,FALSE),"-")</f>
        <v>0</v>
      </c>
      <c r="C197" s="291" t="str">
        <f>IFERROR(IF(VLOOKUP($B197,Расценка!$H$3:$I$9,2,FALSE)="НС",Расценка!$T$11,Расценка!$T$12),"-")</f>
        <v>-</v>
      </c>
      <c r="D197" s="291">
        <f>IFERROR(INDEX(Распределение!$1:$1048576,MATCH($A197,Распределение!$B:$B,0),MATCH($D$8,Распределение!$9:$9,0)),"---")</f>
        <v>0</v>
      </c>
      <c r="E197" s="292">
        <f>IFERROR(SUMIFS('Трудозатраты членов ВТК'!$G$17:$G$117,'Трудозатраты членов ВТК'!$D$17:$D$117,A:A),"-")</f>
        <v>0</v>
      </c>
      <c r="F197" s="293">
        <f>IFERROR(SUMIFS('Трудозатраты членов ВТК'!$F$464:$F$713,'Трудозатраты членов ВТК'!$D$464:$D$713,A:A),"-")</f>
        <v>0</v>
      </c>
      <c r="G197" s="302"/>
      <c r="H197" s="295">
        <f t="shared" si="30"/>
        <v>0</v>
      </c>
      <c r="I197" s="296">
        <f>IFERROR(ROUND(IF('Состав ВТК'!$K190=справочник!$A$5,IF(AND('Расчет участников НИР'!$A197='Состав ВТК'!$B190,$I$10='Состав ВТК'!$I190),$F197*$D197*VLOOKUP('Расчет участников НИР'!$B197,Расценка!$C$3:$E$13,3,FALSE),0),0),2),"-")</f>
        <v>0</v>
      </c>
      <c r="J197" s="296">
        <f>IFERROR(ROUND(IF('Состав ВТК'!$K190=справочник!$A$5,IF(AND('Расчет участников НИР'!$A197='Состав ВТК'!$B190,$J$10='Состав ВТК'!$I190),$F197*$D197*VLOOKUP('Расчет участников НИР'!$B197,Расценка!$C$3:$E$13,3,FALSE),0),0),2),"-")</f>
        <v>0</v>
      </c>
      <c r="K197" s="296">
        <f>IFERROR(ROUND(IF('Состав ВТК'!$K190=справочник!$A$5,IF(AND('Расчет участников НИР'!$A197='Состав ВТК'!$B190,$K$10='Состав ВТК'!$I190),$F197*$D197*VLOOKUP('Расчет участников НИР'!$B197,Расценка!$C$3:$E$13,3,FALSE),0),0),2),"-")</f>
        <v>0</v>
      </c>
      <c r="L197" s="297"/>
      <c r="M197" s="295">
        <f t="shared" si="31"/>
        <v>0</v>
      </c>
      <c r="N197" s="298">
        <f>IFERROR(ROUND(IF('Состав ВТК'!$K190=справочник!$A$5,(IF(AND($A197='Состав ВТК'!$B190,$N$10=$C197),$F197*$D197*VLOOKUP($B197,Расценка!$H$3:$K$9,4,FALSE),0)),0),2),"-")</f>
        <v>0</v>
      </c>
      <c r="O197" s="298">
        <f>IFERROR(ROUND(IF('Состав ВТК'!$K190=справочник!$A$5,(IF(AND($A197='Состав ВТК'!$B190,$O$10=$C197),$F197*$D197*VLOOKUP($B197,Расценка!$H$3:$K$9,4,FALSE),0)),0),2),"-")</f>
        <v>0</v>
      </c>
      <c r="P197" s="299">
        <f t="shared" si="32"/>
        <v>0</v>
      </c>
      <c r="Q197" s="300">
        <f t="shared" si="28"/>
        <v>0</v>
      </c>
      <c r="R197" s="300">
        <f t="shared" si="29"/>
        <v>0</v>
      </c>
      <c r="S197" s="295">
        <f t="shared" si="33"/>
        <v>0</v>
      </c>
      <c r="T197" s="298">
        <f>IFERROR(ROUND(IF(AND('Расчет участников НИР'!$A197='Состав ВТК'!$B190,'Расчет участников НИР'!$T$10='Состав ВТК'!$I190),$E197,0),2),"-")</f>
        <v>0</v>
      </c>
      <c r="U197" s="298">
        <f>IFERROR(ROUND(IF(AND('Расчет участников НИР'!$A197='Состав ВТК'!$B190,'Расчет участников НИР'!$U$10='Состав ВТК'!$I190),$E197,0),2),"-")</f>
        <v>0</v>
      </c>
      <c r="V197" s="298">
        <f>IFERROR(ROUND(IF(AND('Расчет участников НИР'!$A197='Состав ВТК'!$B190,'Расчет участников НИР'!$V$10='Состав ВТК'!$I190),$E197,0),2),"-")</f>
        <v>0</v>
      </c>
      <c r="W197" s="301" t="str">
        <f t="shared" si="34"/>
        <v>-</v>
      </c>
      <c r="X197" s="301" t="str">
        <f t="shared" si="35"/>
        <v>-</v>
      </c>
      <c r="Y197" s="301" t="str">
        <f t="shared" si="36"/>
        <v>-</v>
      </c>
    </row>
    <row r="198" spans="1:25" x14ac:dyDescent="0.25">
      <c r="A198" s="217">
        <f>'Состав ВТК'!B191</f>
        <v>0</v>
      </c>
      <c r="B198" s="290">
        <f>IFERROR(VLOOKUP($A198,Распределение!$B$13:$L$113,11,FALSE),"-")</f>
        <v>0</v>
      </c>
      <c r="C198" s="291" t="str">
        <f>IFERROR(IF(VLOOKUP($B198,Расценка!$H$3:$I$9,2,FALSE)="НС",Расценка!$T$11,Расценка!$T$12),"-")</f>
        <v>-</v>
      </c>
      <c r="D198" s="291">
        <f>IFERROR(INDEX(Распределение!$1:$1048576,MATCH($A198,Распределение!$B:$B,0),MATCH($D$8,Распределение!$9:$9,0)),"---")</f>
        <v>0</v>
      </c>
      <c r="E198" s="292">
        <f>IFERROR(SUMIFS('Трудозатраты членов ВТК'!$G$17:$G$117,'Трудозатраты членов ВТК'!$D$17:$D$117,A:A),"-")</f>
        <v>0</v>
      </c>
      <c r="F198" s="293">
        <f>IFERROR(SUMIFS('Трудозатраты членов ВТК'!$F$464:$F$713,'Трудозатраты членов ВТК'!$D$464:$D$713,A:A),"-")</f>
        <v>0</v>
      </c>
      <c r="G198" s="302"/>
      <c r="H198" s="295">
        <f t="shared" si="30"/>
        <v>0</v>
      </c>
      <c r="I198" s="296">
        <f>IFERROR(ROUND(IF('Состав ВТК'!$K191=справочник!$A$5,IF(AND('Расчет участников НИР'!$A198='Состав ВТК'!$B191,$I$10='Состав ВТК'!$I191),$F198*$D198*VLOOKUP('Расчет участников НИР'!$B198,Расценка!$C$3:$E$13,3,FALSE),0),0),2),"-")</f>
        <v>0</v>
      </c>
      <c r="J198" s="296">
        <f>IFERROR(ROUND(IF('Состав ВТК'!$K191=справочник!$A$5,IF(AND('Расчет участников НИР'!$A198='Состав ВТК'!$B191,$J$10='Состав ВТК'!$I191),$F198*$D198*VLOOKUP('Расчет участников НИР'!$B198,Расценка!$C$3:$E$13,3,FALSE),0),0),2),"-")</f>
        <v>0</v>
      </c>
      <c r="K198" s="296">
        <f>IFERROR(ROUND(IF('Состав ВТК'!$K191=справочник!$A$5,IF(AND('Расчет участников НИР'!$A198='Состав ВТК'!$B191,$K$10='Состав ВТК'!$I191),$F198*$D198*VLOOKUP('Расчет участников НИР'!$B198,Расценка!$C$3:$E$13,3,FALSE),0),0),2),"-")</f>
        <v>0</v>
      </c>
      <c r="L198" s="297"/>
      <c r="M198" s="295">
        <f t="shared" si="31"/>
        <v>0</v>
      </c>
      <c r="N198" s="298">
        <f>IFERROR(ROUND(IF('Состав ВТК'!$K191=справочник!$A$5,(IF(AND($A198='Состав ВТК'!$B191,$N$10=$C198),$F198*$D198*VLOOKUP($B198,Расценка!$H$3:$K$9,4,FALSE),0)),0),2),"-")</f>
        <v>0</v>
      </c>
      <c r="O198" s="298">
        <f>IFERROR(ROUND(IF('Состав ВТК'!$K191=справочник!$A$5,(IF(AND($A198='Состав ВТК'!$B191,$O$10=$C198),$F198*$D198*VLOOKUP($B198,Расценка!$H$3:$K$9,4,FALSE),0)),0),2),"-")</f>
        <v>0</v>
      </c>
      <c r="P198" s="299">
        <f t="shared" si="32"/>
        <v>0</v>
      </c>
      <c r="Q198" s="300">
        <f t="shared" si="28"/>
        <v>0</v>
      </c>
      <c r="R198" s="300">
        <f t="shared" si="29"/>
        <v>0</v>
      </c>
      <c r="S198" s="295">
        <f t="shared" si="33"/>
        <v>0</v>
      </c>
      <c r="T198" s="298">
        <f>IFERROR(ROUND(IF(AND('Расчет участников НИР'!$A198='Состав ВТК'!$B191,'Расчет участников НИР'!$T$10='Состав ВТК'!$I191),$E198,0),2),"-")</f>
        <v>0</v>
      </c>
      <c r="U198" s="298">
        <f>IFERROR(ROUND(IF(AND('Расчет участников НИР'!$A198='Состав ВТК'!$B191,'Расчет участников НИР'!$U$10='Состав ВТК'!$I191),$E198,0),2),"-")</f>
        <v>0</v>
      </c>
      <c r="V198" s="298">
        <f>IFERROR(ROUND(IF(AND('Расчет участников НИР'!$A198='Состав ВТК'!$B191,'Расчет участников НИР'!$V$10='Состав ВТК'!$I191),$E198,0),2),"-")</f>
        <v>0</v>
      </c>
      <c r="W198" s="301" t="str">
        <f t="shared" si="34"/>
        <v>-</v>
      </c>
      <c r="X198" s="301" t="str">
        <f t="shared" si="35"/>
        <v>-</v>
      </c>
      <c r="Y198" s="301" t="str">
        <f t="shared" si="36"/>
        <v>-</v>
      </c>
    </row>
    <row r="199" spans="1:25" x14ac:dyDescent="0.25">
      <c r="A199" s="217">
        <f>'Состав ВТК'!B192</f>
        <v>0</v>
      </c>
      <c r="B199" s="290">
        <f>IFERROR(VLOOKUP($A199,Распределение!$B$13:$L$113,11,FALSE),"-")</f>
        <v>0</v>
      </c>
      <c r="C199" s="291" t="str">
        <f>IFERROR(IF(VLOOKUP($B199,Расценка!$H$3:$I$9,2,FALSE)="НС",Расценка!$T$11,Расценка!$T$12),"-")</f>
        <v>-</v>
      </c>
      <c r="D199" s="291">
        <f>IFERROR(INDEX(Распределение!$1:$1048576,MATCH($A199,Распределение!$B:$B,0),MATCH($D$8,Распределение!$9:$9,0)),"---")</f>
        <v>0</v>
      </c>
      <c r="E199" s="292">
        <f>IFERROR(SUMIFS('Трудозатраты членов ВТК'!$G$17:$G$117,'Трудозатраты членов ВТК'!$D$17:$D$117,A:A),"-")</f>
        <v>0</v>
      </c>
      <c r="F199" s="293">
        <f>IFERROR(SUMIFS('Трудозатраты членов ВТК'!$F$464:$F$713,'Трудозатраты членов ВТК'!$D$464:$D$713,A:A),"-")</f>
        <v>0</v>
      </c>
      <c r="G199" s="302"/>
      <c r="H199" s="295">
        <f t="shared" si="30"/>
        <v>0</v>
      </c>
      <c r="I199" s="296">
        <f>IFERROR(ROUND(IF('Состав ВТК'!$K192=справочник!$A$5,IF(AND('Расчет участников НИР'!$A199='Состав ВТК'!$B192,$I$10='Состав ВТК'!$I192),$F199*$D199*VLOOKUP('Расчет участников НИР'!$B199,Расценка!$C$3:$E$13,3,FALSE),0),0),2),"-")</f>
        <v>0</v>
      </c>
      <c r="J199" s="296">
        <f>IFERROR(ROUND(IF('Состав ВТК'!$K192=справочник!$A$5,IF(AND('Расчет участников НИР'!$A199='Состав ВТК'!$B192,$J$10='Состав ВТК'!$I192),$F199*$D199*VLOOKUP('Расчет участников НИР'!$B199,Расценка!$C$3:$E$13,3,FALSE),0),0),2),"-")</f>
        <v>0</v>
      </c>
      <c r="K199" s="296">
        <f>IFERROR(ROUND(IF('Состав ВТК'!$K192=справочник!$A$5,IF(AND('Расчет участников НИР'!$A199='Состав ВТК'!$B192,$K$10='Состав ВТК'!$I192),$F199*$D199*VLOOKUP('Расчет участников НИР'!$B199,Расценка!$C$3:$E$13,3,FALSE),0),0),2),"-")</f>
        <v>0</v>
      </c>
      <c r="L199" s="297"/>
      <c r="M199" s="295">
        <f t="shared" si="31"/>
        <v>0</v>
      </c>
      <c r="N199" s="298">
        <f>IFERROR(ROUND(IF('Состав ВТК'!$K192=справочник!$A$5,(IF(AND($A199='Состав ВТК'!$B192,$N$10=$C199),$F199*$D199*VLOOKUP($B199,Расценка!$H$3:$K$9,4,FALSE),0)),0),2),"-")</f>
        <v>0</v>
      </c>
      <c r="O199" s="298">
        <f>IFERROR(ROUND(IF('Состав ВТК'!$K192=справочник!$A$5,(IF(AND($A199='Состав ВТК'!$B192,$O$10=$C199),$F199*$D199*VLOOKUP($B199,Расценка!$H$3:$K$9,4,FALSE),0)),0),2),"-")</f>
        <v>0</v>
      </c>
      <c r="P199" s="299">
        <f t="shared" si="32"/>
        <v>0</v>
      </c>
      <c r="Q199" s="300">
        <f t="shared" si="28"/>
        <v>0</v>
      </c>
      <c r="R199" s="300">
        <f t="shared" si="29"/>
        <v>0</v>
      </c>
      <c r="S199" s="295">
        <f t="shared" si="33"/>
        <v>0</v>
      </c>
      <c r="T199" s="298">
        <f>IFERROR(ROUND(IF(AND('Расчет участников НИР'!$A199='Состав ВТК'!$B192,'Расчет участников НИР'!$T$10='Состав ВТК'!$I192),$E199,0),2),"-")</f>
        <v>0</v>
      </c>
      <c r="U199" s="298">
        <f>IFERROR(ROUND(IF(AND('Расчет участников НИР'!$A199='Состав ВТК'!$B192,'Расчет участников НИР'!$U$10='Состав ВТК'!$I192),$E199,0),2),"-")</f>
        <v>0</v>
      </c>
      <c r="V199" s="298">
        <f>IFERROR(ROUND(IF(AND('Расчет участников НИР'!$A199='Состав ВТК'!$B192,'Расчет участников НИР'!$V$10='Состав ВТК'!$I192),$E199,0),2),"-")</f>
        <v>0</v>
      </c>
      <c r="W199" s="301" t="str">
        <f t="shared" si="34"/>
        <v>-</v>
      </c>
      <c r="X199" s="301" t="str">
        <f t="shared" si="35"/>
        <v>-</v>
      </c>
      <c r="Y199" s="301" t="str">
        <f t="shared" si="36"/>
        <v>-</v>
      </c>
    </row>
    <row r="200" spans="1:25" x14ac:dyDescent="0.25">
      <c r="A200" s="217">
        <f>'Состав ВТК'!B193</f>
        <v>0</v>
      </c>
      <c r="B200" s="290">
        <f>IFERROR(VLOOKUP($A200,Распределение!$B$13:$L$113,11,FALSE),"-")</f>
        <v>0</v>
      </c>
      <c r="C200" s="291" t="str">
        <f>IFERROR(IF(VLOOKUP($B200,Расценка!$H$3:$I$9,2,FALSE)="НС",Расценка!$T$11,Расценка!$T$12),"-")</f>
        <v>-</v>
      </c>
      <c r="D200" s="291">
        <f>IFERROR(INDEX(Распределение!$1:$1048576,MATCH($A200,Распределение!$B:$B,0),MATCH($D$8,Распределение!$9:$9,0)),"---")</f>
        <v>0</v>
      </c>
      <c r="E200" s="292">
        <f>IFERROR(SUMIFS('Трудозатраты членов ВТК'!$G$17:$G$117,'Трудозатраты членов ВТК'!$D$17:$D$117,A:A),"-")</f>
        <v>0</v>
      </c>
      <c r="F200" s="293">
        <f>IFERROR(SUMIFS('Трудозатраты членов ВТК'!$F$464:$F$713,'Трудозатраты членов ВТК'!$D$464:$D$713,A:A),"-")</f>
        <v>0</v>
      </c>
      <c r="G200" s="302"/>
      <c r="H200" s="295">
        <f t="shared" si="30"/>
        <v>0</v>
      </c>
      <c r="I200" s="296">
        <f>IFERROR(ROUND(IF('Состав ВТК'!$K193=справочник!$A$5,IF(AND('Расчет участников НИР'!$A200='Состав ВТК'!$B193,$I$10='Состав ВТК'!$I193),$F200*$D200*VLOOKUP('Расчет участников НИР'!$B200,Расценка!$C$3:$E$13,3,FALSE),0),0),2),"-")</f>
        <v>0</v>
      </c>
      <c r="J200" s="296">
        <f>IFERROR(ROUND(IF('Состав ВТК'!$K193=справочник!$A$5,IF(AND('Расчет участников НИР'!$A200='Состав ВТК'!$B193,$J$10='Состав ВТК'!$I193),$F200*$D200*VLOOKUP('Расчет участников НИР'!$B200,Расценка!$C$3:$E$13,3,FALSE),0),0),2),"-")</f>
        <v>0</v>
      </c>
      <c r="K200" s="296">
        <f>IFERROR(ROUND(IF('Состав ВТК'!$K193=справочник!$A$5,IF(AND('Расчет участников НИР'!$A200='Состав ВТК'!$B193,$K$10='Состав ВТК'!$I193),$F200*$D200*VLOOKUP('Расчет участников НИР'!$B200,Расценка!$C$3:$E$13,3,FALSE),0),0),2),"-")</f>
        <v>0</v>
      </c>
      <c r="L200" s="297"/>
      <c r="M200" s="295">
        <f t="shared" si="31"/>
        <v>0</v>
      </c>
      <c r="N200" s="298">
        <f>IFERROR(ROUND(IF('Состав ВТК'!$K193=справочник!$A$5,(IF(AND($A200='Состав ВТК'!$B193,$N$10=$C200),$F200*$D200*VLOOKUP($B200,Расценка!$H$3:$K$9,4,FALSE),0)),0),2),"-")</f>
        <v>0</v>
      </c>
      <c r="O200" s="298">
        <f>IFERROR(ROUND(IF('Состав ВТК'!$K193=справочник!$A$5,(IF(AND($A200='Состав ВТК'!$B193,$O$10=$C200),$F200*$D200*VLOOKUP($B200,Расценка!$H$3:$K$9,4,FALSE),0)),0),2),"-")</f>
        <v>0</v>
      </c>
      <c r="P200" s="299">
        <f t="shared" si="32"/>
        <v>0</v>
      </c>
      <c r="Q200" s="300">
        <f t="shared" si="28"/>
        <v>0</v>
      </c>
      <c r="R200" s="300">
        <f t="shared" si="29"/>
        <v>0</v>
      </c>
      <c r="S200" s="295">
        <f t="shared" si="33"/>
        <v>0</v>
      </c>
      <c r="T200" s="298">
        <f>IFERROR(ROUND(IF(AND('Расчет участников НИР'!$A200='Состав ВТК'!$B193,'Расчет участников НИР'!$T$10='Состав ВТК'!$I193),$E200,0),2),"-")</f>
        <v>0</v>
      </c>
      <c r="U200" s="298">
        <f>IFERROR(ROUND(IF(AND('Расчет участников НИР'!$A200='Состав ВТК'!$B193,'Расчет участников НИР'!$U$10='Состав ВТК'!$I193),$E200,0),2),"-")</f>
        <v>0</v>
      </c>
      <c r="V200" s="298">
        <f>IFERROR(ROUND(IF(AND('Расчет участников НИР'!$A200='Состав ВТК'!$B193,'Расчет участников НИР'!$V$10='Состав ВТК'!$I193),$E200,0),2),"-")</f>
        <v>0</v>
      </c>
      <c r="W200" s="301" t="str">
        <f t="shared" si="34"/>
        <v>-</v>
      </c>
      <c r="X200" s="301" t="str">
        <f t="shared" si="35"/>
        <v>-</v>
      </c>
      <c r="Y200" s="301" t="str">
        <f t="shared" si="36"/>
        <v>-</v>
      </c>
    </row>
    <row r="201" spans="1:25" x14ac:dyDescent="0.25">
      <c r="A201" s="217">
        <f>'Состав ВТК'!B194</f>
        <v>0</v>
      </c>
      <c r="B201" s="290">
        <f>IFERROR(VLOOKUP($A201,Распределение!$B$13:$L$113,11,FALSE),"-")</f>
        <v>0</v>
      </c>
      <c r="C201" s="291" t="str">
        <f>IFERROR(IF(VLOOKUP($B201,Расценка!$H$3:$I$9,2,FALSE)="НС",Расценка!$T$11,Расценка!$T$12),"-")</f>
        <v>-</v>
      </c>
      <c r="D201" s="291">
        <f>IFERROR(INDEX(Распределение!$1:$1048576,MATCH($A201,Распределение!$B:$B,0),MATCH($D$8,Распределение!$9:$9,0)),"---")</f>
        <v>0</v>
      </c>
      <c r="E201" s="292">
        <f>IFERROR(SUMIFS('Трудозатраты членов ВТК'!$G$17:$G$117,'Трудозатраты членов ВТК'!$D$17:$D$117,A:A),"-")</f>
        <v>0</v>
      </c>
      <c r="F201" s="293">
        <f>IFERROR(SUMIFS('Трудозатраты членов ВТК'!$F$464:$F$713,'Трудозатраты членов ВТК'!$D$464:$D$713,A:A),"-")</f>
        <v>0</v>
      </c>
      <c r="G201" s="302"/>
      <c r="H201" s="295">
        <f t="shared" si="30"/>
        <v>0</v>
      </c>
      <c r="I201" s="296">
        <f>IFERROR(ROUND(IF('Состав ВТК'!$K194=справочник!$A$5,IF(AND('Расчет участников НИР'!$A201='Состав ВТК'!$B194,$I$10='Состав ВТК'!$I194),$F201*$D201*VLOOKUP('Расчет участников НИР'!$B201,Расценка!$C$3:$E$13,3,FALSE),0),0),2),"-")</f>
        <v>0</v>
      </c>
      <c r="J201" s="296">
        <f>IFERROR(ROUND(IF('Состав ВТК'!$K194=справочник!$A$5,IF(AND('Расчет участников НИР'!$A201='Состав ВТК'!$B194,$J$10='Состав ВТК'!$I194),$F201*$D201*VLOOKUP('Расчет участников НИР'!$B201,Расценка!$C$3:$E$13,3,FALSE),0),0),2),"-")</f>
        <v>0</v>
      </c>
      <c r="K201" s="296">
        <f>IFERROR(ROUND(IF('Состав ВТК'!$K194=справочник!$A$5,IF(AND('Расчет участников НИР'!$A201='Состав ВТК'!$B194,$K$10='Состав ВТК'!$I194),$F201*$D201*VLOOKUP('Расчет участников НИР'!$B201,Расценка!$C$3:$E$13,3,FALSE),0),0),2),"-")</f>
        <v>0</v>
      </c>
      <c r="L201" s="297"/>
      <c r="M201" s="295">
        <f t="shared" si="31"/>
        <v>0</v>
      </c>
      <c r="N201" s="298">
        <f>IFERROR(ROUND(IF('Состав ВТК'!$K194=справочник!$A$5,(IF(AND($A201='Состав ВТК'!$B194,$N$10=$C201),$F201*$D201*VLOOKUP($B201,Расценка!$H$3:$K$9,4,FALSE),0)),0),2),"-")</f>
        <v>0</v>
      </c>
      <c r="O201" s="298">
        <f>IFERROR(ROUND(IF('Состав ВТК'!$K194=справочник!$A$5,(IF(AND($A201='Состав ВТК'!$B194,$O$10=$C201),$F201*$D201*VLOOKUP($B201,Расценка!$H$3:$K$9,4,FALSE),0)),0),2),"-")</f>
        <v>0</v>
      </c>
      <c r="P201" s="299">
        <f t="shared" si="32"/>
        <v>0</v>
      </c>
      <c r="Q201" s="300">
        <f t="shared" si="28"/>
        <v>0</v>
      </c>
      <c r="R201" s="300">
        <f t="shared" si="29"/>
        <v>0</v>
      </c>
      <c r="S201" s="295">
        <f t="shared" si="33"/>
        <v>0</v>
      </c>
      <c r="T201" s="298">
        <f>IFERROR(ROUND(IF(AND('Расчет участников НИР'!$A201='Состав ВТК'!$B194,'Расчет участников НИР'!$T$10='Состав ВТК'!$I194),$E201,0),2),"-")</f>
        <v>0</v>
      </c>
      <c r="U201" s="298">
        <f>IFERROR(ROUND(IF(AND('Расчет участников НИР'!$A201='Состав ВТК'!$B194,'Расчет участников НИР'!$U$10='Состав ВТК'!$I194),$E201,0),2),"-")</f>
        <v>0</v>
      </c>
      <c r="V201" s="298">
        <f>IFERROR(ROUND(IF(AND('Расчет участников НИР'!$A201='Состав ВТК'!$B194,'Расчет участников НИР'!$V$10='Состав ВТК'!$I194),$E201,0),2),"-")</f>
        <v>0</v>
      </c>
      <c r="W201" s="301" t="str">
        <f t="shared" si="34"/>
        <v>-</v>
      </c>
      <c r="X201" s="301" t="str">
        <f t="shared" si="35"/>
        <v>-</v>
      </c>
      <c r="Y201" s="301" t="str">
        <f t="shared" si="36"/>
        <v>-</v>
      </c>
    </row>
    <row r="202" spans="1:25" x14ac:dyDescent="0.25">
      <c r="A202" s="217">
        <f>'Состав ВТК'!B195</f>
        <v>0</v>
      </c>
      <c r="B202" s="290">
        <f>IFERROR(VLOOKUP($A202,Распределение!$B$13:$L$113,11,FALSE),"-")</f>
        <v>0</v>
      </c>
      <c r="C202" s="291" t="str">
        <f>IFERROR(IF(VLOOKUP($B202,Расценка!$H$3:$I$9,2,FALSE)="НС",Расценка!$T$11,Расценка!$T$12),"-")</f>
        <v>-</v>
      </c>
      <c r="D202" s="291">
        <f>IFERROR(INDEX(Распределение!$1:$1048576,MATCH($A202,Распределение!$B:$B,0),MATCH($D$8,Распределение!$9:$9,0)),"---")</f>
        <v>0</v>
      </c>
      <c r="E202" s="292">
        <f>IFERROR(SUMIFS('Трудозатраты членов ВТК'!$G$17:$G$117,'Трудозатраты членов ВТК'!$D$17:$D$117,A:A),"-")</f>
        <v>0</v>
      </c>
      <c r="F202" s="293">
        <f>IFERROR(SUMIFS('Трудозатраты членов ВТК'!$F$464:$F$713,'Трудозатраты членов ВТК'!$D$464:$D$713,A:A),"-")</f>
        <v>0</v>
      </c>
      <c r="G202" s="302"/>
      <c r="H202" s="295">
        <f t="shared" si="30"/>
        <v>0</v>
      </c>
      <c r="I202" s="296">
        <f>IFERROR(ROUND(IF('Состав ВТК'!$K195=справочник!$A$5,IF(AND('Расчет участников НИР'!$A202='Состав ВТК'!$B195,$I$10='Состав ВТК'!$I195),$F202*$D202*VLOOKUP('Расчет участников НИР'!$B202,Расценка!$C$3:$E$13,3,FALSE),0),0),2),"-")</f>
        <v>0</v>
      </c>
      <c r="J202" s="296">
        <f>IFERROR(ROUND(IF('Состав ВТК'!$K195=справочник!$A$5,IF(AND('Расчет участников НИР'!$A202='Состав ВТК'!$B195,$J$10='Состав ВТК'!$I195),$F202*$D202*VLOOKUP('Расчет участников НИР'!$B202,Расценка!$C$3:$E$13,3,FALSE),0),0),2),"-")</f>
        <v>0</v>
      </c>
      <c r="K202" s="296">
        <f>IFERROR(ROUND(IF('Состав ВТК'!$K195=справочник!$A$5,IF(AND('Расчет участников НИР'!$A202='Состав ВТК'!$B195,$K$10='Состав ВТК'!$I195),$F202*$D202*VLOOKUP('Расчет участников НИР'!$B202,Расценка!$C$3:$E$13,3,FALSE),0),0),2),"-")</f>
        <v>0</v>
      </c>
      <c r="L202" s="297"/>
      <c r="M202" s="295">
        <f t="shared" si="31"/>
        <v>0</v>
      </c>
      <c r="N202" s="298">
        <f>IFERROR(ROUND(IF('Состав ВТК'!$K195=справочник!$A$5,(IF(AND($A202='Состав ВТК'!$B195,$N$10=$C202),$F202*$D202*VLOOKUP($B202,Расценка!$H$3:$K$9,4,FALSE),0)),0),2),"-")</f>
        <v>0</v>
      </c>
      <c r="O202" s="298">
        <f>IFERROR(ROUND(IF('Состав ВТК'!$K195=справочник!$A$5,(IF(AND($A202='Состав ВТК'!$B195,$O$10=$C202),$F202*$D202*VLOOKUP($B202,Расценка!$H$3:$K$9,4,FALSE),0)),0),2),"-")</f>
        <v>0</v>
      </c>
      <c r="P202" s="299">
        <f t="shared" si="32"/>
        <v>0</v>
      </c>
      <c r="Q202" s="300">
        <f t="shared" si="28"/>
        <v>0</v>
      </c>
      <c r="R202" s="300">
        <f t="shared" si="29"/>
        <v>0</v>
      </c>
      <c r="S202" s="295">
        <f t="shared" si="33"/>
        <v>0</v>
      </c>
      <c r="T202" s="298">
        <f>IFERROR(ROUND(IF(AND('Расчет участников НИР'!$A202='Состав ВТК'!$B195,'Расчет участников НИР'!$T$10='Состав ВТК'!$I195),$E202,0),2),"-")</f>
        <v>0</v>
      </c>
      <c r="U202" s="298">
        <f>IFERROR(ROUND(IF(AND('Расчет участников НИР'!$A202='Состав ВТК'!$B195,'Расчет участников НИР'!$U$10='Состав ВТК'!$I195),$E202,0),2),"-")</f>
        <v>0</v>
      </c>
      <c r="V202" s="298">
        <f>IFERROR(ROUND(IF(AND('Расчет участников НИР'!$A202='Состав ВТК'!$B195,'Расчет участников НИР'!$V$10='Состав ВТК'!$I195),$E202,0),2),"-")</f>
        <v>0</v>
      </c>
      <c r="W202" s="301" t="str">
        <f t="shared" si="34"/>
        <v>-</v>
      </c>
      <c r="X202" s="301" t="str">
        <f t="shared" si="35"/>
        <v>-</v>
      </c>
      <c r="Y202" s="301" t="str">
        <f t="shared" si="36"/>
        <v>-</v>
      </c>
    </row>
    <row r="203" spans="1:25" x14ac:dyDescent="0.25">
      <c r="A203" s="217">
        <f>'Состав ВТК'!B196</f>
        <v>0</v>
      </c>
      <c r="B203" s="290">
        <f>IFERROR(VLOOKUP($A203,Распределение!$B$13:$L$113,11,FALSE),"-")</f>
        <v>0</v>
      </c>
      <c r="C203" s="291" t="str">
        <f>IFERROR(IF(VLOOKUP($B203,Расценка!$H$3:$I$9,2,FALSE)="НС",Расценка!$T$11,Расценка!$T$12),"-")</f>
        <v>-</v>
      </c>
      <c r="D203" s="291">
        <f>IFERROR(INDEX(Распределение!$1:$1048576,MATCH($A203,Распределение!$B:$B,0),MATCH($D$8,Распределение!$9:$9,0)),"---")</f>
        <v>0</v>
      </c>
      <c r="E203" s="292">
        <f>IFERROR(SUMIFS('Трудозатраты членов ВТК'!$G$17:$G$117,'Трудозатраты членов ВТК'!$D$17:$D$117,A:A),"-")</f>
        <v>0</v>
      </c>
      <c r="F203" s="293">
        <f>IFERROR(SUMIFS('Трудозатраты членов ВТК'!$F$464:$F$713,'Трудозатраты членов ВТК'!$D$464:$D$713,A:A),"-")</f>
        <v>0</v>
      </c>
      <c r="G203" s="302"/>
      <c r="H203" s="295">
        <f t="shared" si="30"/>
        <v>0</v>
      </c>
      <c r="I203" s="296">
        <f>IFERROR(ROUND(IF('Состав ВТК'!$K196=справочник!$A$5,IF(AND('Расчет участников НИР'!$A203='Состав ВТК'!$B196,$I$10='Состав ВТК'!$I196),$F203*$D203*VLOOKUP('Расчет участников НИР'!$B203,Расценка!$C$3:$E$13,3,FALSE),0),0),2),"-")</f>
        <v>0</v>
      </c>
      <c r="J203" s="296">
        <f>IFERROR(ROUND(IF('Состав ВТК'!$K196=справочник!$A$5,IF(AND('Расчет участников НИР'!$A203='Состав ВТК'!$B196,$J$10='Состав ВТК'!$I196),$F203*$D203*VLOOKUP('Расчет участников НИР'!$B203,Расценка!$C$3:$E$13,3,FALSE),0),0),2),"-")</f>
        <v>0</v>
      </c>
      <c r="K203" s="296">
        <f>IFERROR(ROUND(IF('Состав ВТК'!$K196=справочник!$A$5,IF(AND('Расчет участников НИР'!$A203='Состав ВТК'!$B196,$K$10='Состав ВТК'!$I196),$F203*$D203*VLOOKUP('Расчет участников НИР'!$B203,Расценка!$C$3:$E$13,3,FALSE),0),0),2),"-")</f>
        <v>0</v>
      </c>
      <c r="L203" s="297"/>
      <c r="M203" s="295">
        <f t="shared" si="31"/>
        <v>0</v>
      </c>
      <c r="N203" s="298">
        <f>IFERROR(ROUND(IF('Состав ВТК'!$K196=справочник!$A$5,(IF(AND($A203='Состав ВТК'!$B196,$N$10=$C203),$F203*$D203*VLOOKUP($B203,Расценка!$H$3:$K$9,4,FALSE),0)),0),2),"-")</f>
        <v>0</v>
      </c>
      <c r="O203" s="298">
        <f>IFERROR(ROUND(IF('Состав ВТК'!$K196=справочник!$A$5,(IF(AND($A203='Состав ВТК'!$B196,$O$10=$C203),$F203*$D203*VLOOKUP($B203,Расценка!$H$3:$K$9,4,FALSE),0)),0),2),"-")</f>
        <v>0</v>
      </c>
      <c r="P203" s="299">
        <f t="shared" si="32"/>
        <v>0</v>
      </c>
      <c r="Q203" s="300">
        <f t="shared" si="28"/>
        <v>0</v>
      </c>
      <c r="R203" s="300">
        <f t="shared" si="29"/>
        <v>0</v>
      </c>
      <c r="S203" s="295">
        <f t="shared" si="33"/>
        <v>0</v>
      </c>
      <c r="T203" s="298">
        <f>IFERROR(ROUND(IF(AND('Расчет участников НИР'!$A203='Состав ВТК'!$B196,'Расчет участников НИР'!$T$10='Состав ВТК'!$I196),$E203,0),2),"-")</f>
        <v>0</v>
      </c>
      <c r="U203" s="298">
        <f>IFERROR(ROUND(IF(AND('Расчет участников НИР'!$A203='Состав ВТК'!$B196,'Расчет участников НИР'!$U$10='Состав ВТК'!$I196),$E203,0),2),"-")</f>
        <v>0</v>
      </c>
      <c r="V203" s="298">
        <f>IFERROR(ROUND(IF(AND('Расчет участников НИР'!$A203='Состав ВТК'!$B196,'Расчет участников НИР'!$V$10='Состав ВТК'!$I196),$E203,0),2),"-")</f>
        <v>0</v>
      </c>
      <c r="W203" s="301" t="str">
        <f t="shared" si="34"/>
        <v>-</v>
      </c>
      <c r="X203" s="301" t="str">
        <f t="shared" si="35"/>
        <v>-</v>
      </c>
      <c r="Y203" s="301" t="str">
        <f t="shared" si="36"/>
        <v>-</v>
      </c>
    </row>
    <row r="204" spans="1:25" x14ac:dyDescent="0.25">
      <c r="A204" s="217">
        <f>'Состав ВТК'!B197</f>
        <v>0</v>
      </c>
      <c r="B204" s="290">
        <f>IFERROR(VLOOKUP($A204,Распределение!$B$13:$L$113,11,FALSE),"-")</f>
        <v>0</v>
      </c>
      <c r="C204" s="291" t="str">
        <f>IFERROR(IF(VLOOKUP($B204,Расценка!$H$3:$I$9,2,FALSE)="НС",Расценка!$T$11,Расценка!$T$12),"-")</f>
        <v>-</v>
      </c>
      <c r="D204" s="291">
        <f>IFERROR(INDEX(Распределение!$1:$1048576,MATCH($A204,Распределение!$B:$B,0),MATCH($D$8,Распределение!$9:$9,0)),"---")</f>
        <v>0</v>
      </c>
      <c r="E204" s="292">
        <f>IFERROR(SUMIFS('Трудозатраты членов ВТК'!$G$17:$G$117,'Трудозатраты членов ВТК'!$D$17:$D$117,A:A),"-")</f>
        <v>0</v>
      </c>
      <c r="F204" s="293">
        <f>IFERROR(SUMIFS('Трудозатраты членов ВТК'!$F$464:$F$713,'Трудозатраты членов ВТК'!$D$464:$D$713,A:A),"-")</f>
        <v>0</v>
      </c>
      <c r="G204" s="302"/>
      <c r="H204" s="295">
        <f t="shared" si="30"/>
        <v>0</v>
      </c>
      <c r="I204" s="296">
        <f>IFERROR(ROUND(IF('Состав ВТК'!$K197=справочник!$A$5,IF(AND('Расчет участников НИР'!$A204='Состав ВТК'!$B197,$I$10='Состав ВТК'!$I197),$F204*$D204*VLOOKUP('Расчет участников НИР'!$B204,Расценка!$C$3:$E$13,3,FALSE),0),0),2),"-")</f>
        <v>0</v>
      </c>
      <c r="J204" s="296">
        <f>IFERROR(ROUND(IF('Состав ВТК'!$K197=справочник!$A$5,IF(AND('Расчет участников НИР'!$A204='Состав ВТК'!$B197,$J$10='Состав ВТК'!$I197),$F204*$D204*VLOOKUP('Расчет участников НИР'!$B204,Расценка!$C$3:$E$13,3,FALSE),0),0),2),"-")</f>
        <v>0</v>
      </c>
      <c r="K204" s="296">
        <f>IFERROR(ROUND(IF('Состав ВТК'!$K197=справочник!$A$5,IF(AND('Расчет участников НИР'!$A204='Состав ВТК'!$B197,$K$10='Состав ВТК'!$I197),$F204*$D204*VLOOKUP('Расчет участников НИР'!$B204,Расценка!$C$3:$E$13,3,FALSE),0),0),2),"-")</f>
        <v>0</v>
      </c>
      <c r="L204" s="297"/>
      <c r="M204" s="295">
        <f t="shared" si="31"/>
        <v>0</v>
      </c>
      <c r="N204" s="298">
        <f>IFERROR(ROUND(IF('Состав ВТК'!$K197=справочник!$A$5,(IF(AND($A204='Состав ВТК'!$B197,$N$10=$C204),$F204*$D204*VLOOKUP($B204,Расценка!$H$3:$K$9,4,FALSE),0)),0),2),"-")</f>
        <v>0</v>
      </c>
      <c r="O204" s="298">
        <f>IFERROR(ROUND(IF('Состав ВТК'!$K197=справочник!$A$5,(IF(AND($A204='Состав ВТК'!$B197,$O$10=$C204),$F204*$D204*VLOOKUP($B204,Расценка!$H$3:$K$9,4,FALSE),0)),0),2),"-")</f>
        <v>0</v>
      </c>
      <c r="P204" s="299">
        <f t="shared" si="32"/>
        <v>0</v>
      </c>
      <c r="Q204" s="300">
        <f t="shared" si="28"/>
        <v>0</v>
      </c>
      <c r="R204" s="300">
        <f t="shared" si="29"/>
        <v>0</v>
      </c>
      <c r="S204" s="295">
        <f t="shared" si="33"/>
        <v>0</v>
      </c>
      <c r="T204" s="298">
        <f>IFERROR(ROUND(IF(AND('Расчет участников НИР'!$A204='Состав ВТК'!$B197,'Расчет участников НИР'!$T$10='Состав ВТК'!$I197),$E204,0),2),"-")</f>
        <v>0</v>
      </c>
      <c r="U204" s="298">
        <f>IFERROR(ROUND(IF(AND('Расчет участников НИР'!$A204='Состав ВТК'!$B197,'Расчет участников НИР'!$U$10='Состав ВТК'!$I197),$E204,0),2),"-")</f>
        <v>0</v>
      </c>
      <c r="V204" s="298">
        <f>IFERROR(ROUND(IF(AND('Расчет участников НИР'!$A204='Состав ВТК'!$B197,'Расчет участников НИР'!$V$10='Состав ВТК'!$I197),$E204,0),2),"-")</f>
        <v>0</v>
      </c>
      <c r="W204" s="301" t="str">
        <f t="shared" si="34"/>
        <v>-</v>
      </c>
      <c r="X204" s="301" t="str">
        <f t="shared" si="35"/>
        <v>-</v>
      </c>
      <c r="Y204" s="301" t="str">
        <f t="shared" si="36"/>
        <v>-</v>
      </c>
    </row>
    <row r="205" spans="1:25" x14ac:dyDescent="0.25">
      <c r="A205" s="217">
        <f>'Состав ВТК'!B198</f>
        <v>0</v>
      </c>
      <c r="B205" s="290">
        <f>IFERROR(VLOOKUP($A205,Распределение!$B$13:$L$113,11,FALSE),"-")</f>
        <v>0</v>
      </c>
      <c r="C205" s="291" t="str">
        <f>IFERROR(IF(VLOOKUP($B205,Расценка!$H$3:$I$9,2,FALSE)="НС",Расценка!$T$11,Расценка!$T$12),"-")</f>
        <v>-</v>
      </c>
      <c r="D205" s="291">
        <f>IFERROR(INDEX(Распределение!$1:$1048576,MATCH($A205,Распределение!$B:$B,0),MATCH($D$8,Распределение!$9:$9,0)),"---")</f>
        <v>0</v>
      </c>
      <c r="E205" s="292">
        <f>IFERROR(SUMIFS('Трудозатраты членов ВТК'!$G$17:$G$117,'Трудозатраты членов ВТК'!$D$17:$D$117,A:A),"-")</f>
        <v>0</v>
      </c>
      <c r="F205" s="293">
        <f>IFERROR(SUMIFS('Трудозатраты членов ВТК'!$F$464:$F$713,'Трудозатраты членов ВТК'!$D$464:$D$713,A:A),"-")</f>
        <v>0</v>
      </c>
      <c r="G205" s="302"/>
      <c r="H205" s="295">
        <f t="shared" si="30"/>
        <v>0</v>
      </c>
      <c r="I205" s="296">
        <f>IFERROR(ROUND(IF('Состав ВТК'!$K198=справочник!$A$5,IF(AND('Расчет участников НИР'!$A205='Состав ВТК'!$B198,$I$10='Состав ВТК'!$I198),$F205*$D205*VLOOKUP('Расчет участников НИР'!$B205,Расценка!$C$3:$E$13,3,FALSE),0),0),2),"-")</f>
        <v>0</v>
      </c>
      <c r="J205" s="296">
        <f>IFERROR(ROUND(IF('Состав ВТК'!$K198=справочник!$A$5,IF(AND('Расчет участников НИР'!$A205='Состав ВТК'!$B198,$J$10='Состав ВТК'!$I198),$F205*$D205*VLOOKUP('Расчет участников НИР'!$B205,Расценка!$C$3:$E$13,3,FALSE),0),0),2),"-")</f>
        <v>0</v>
      </c>
      <c r="K205" s="296">
        <f>IFERROR(ROUND(IF('Состав ВТК'!$K198=справочник!$A$5,IF(AND('Расчет участников НИР'!$A205='Состав ВТК'!$B198,$K$10='Состав ВТК'!$I198),$F205*$D205*VLOOKUP('Расчет участников НИР'!$B205,Расценка!$C$3:$E$13,3,FALSE),0),0),2),"-")</f>
        <v>0</v>
      </c>
      <c r="L205" s="297"/>
      <c r="M205" s="295">
        <f t="shared" si="31"/>
        <v>0</v>
      </c>
      <c r="N205" s="298">
        <f>IFERROR(ROUND(IF('Состав ВТК'!$K198=справочник!$A$5,(IF(AND($A205='Состав ВТК'!$B198,$N$10=$C205),$F205*$D205*VLOOKUP($B205,Расценка!$H$3:$K$9,4,FALSE),0)),0),2),"-")</f>
        <v>0</v>
      </c>
      <c r="O205" s="298">
        <f>IFERROR(ROUND(IF('Состав ВТК'!$K198=справочник!$A$5,(IF(AND($A205='Состав ВТК'!$B198,$O$10=$C205),$F205*$D205*VLOOKUP($B205,Расценка!$H$3:$K$9,4,FALSE),0)),0),2),"-")</f>
        <v>0</v>
      </c>
      <c r="P205" s="299">
        <f t="shared" si="32"/>
        <v>0</v>
      </c>
      <c r="Q205" s="300">
        <f t="shared" si="28"/>
        <v>0</v>
      </c>
      <c r="R205" s="300">
        <f t="shared" si="29"/>
        <v>0</v>
      </c>
      <c r="S205" s="295">
        <f t="shared" si="33"/>
        <v>0</v>
      </c>
      <c r="T205" s="298">
        <f>IFERROR(ROUND(IF(AND('Расчет участников НИР'!$A205='Состав ВТК'!$B198,'Расчет участников НИР'!$T$10='Состав ВТК'!$I198),$E205,0),2),"-")</f>
        <v>0</v>
      </c>
      <c r="U205" s="298">
        <f>IFERROR(ROUND(IF(AND('Расчет участников НИР'!$A205='Состав ВТК'!$B198,'Расчет участников НИР'!$U$10='Состав ВТК'!$I198),$E205,0),2),"-")</f>
        <v>0</v>
      </c>
      <c r="V205" s="298">
        <f>IFERROR(ROUND(IF(AND('Расчет участников НИР'!$A205='Состав ВТК'!$B198,'Расчет участников НИР'!$V$10='Состав ВТК'!$I198),$E205,0),2),"-")</f>
        <v>0</v>
      </c>
      <c r="W205" s="301" t="str">
        <f t="shared" si="34"/>
        <v>-</v>
      </c>
      <c r="X205" s="301" t="str">
        <f t="shared" si="35"/>
        <v>-</v>
      </c>
      <c r="Y205" s="301" t="str">
        <f t="shared" si="36"/>
        <v>-</v>
      </c>
    </row>
    <row r="206" spans="1:25" x14ac:dyDescent="0.25">
      <c r="A206" s="217">
        <f>'Состав ВТК'!B199</f>
        <v>0</v>
      </c>
      <c r="B206" s="290">
        <f>IFERROR(VLOOKUP($A206,Распределение!$B$13:$L$113,11,FALSE),"-")</f>
        <v>0</v>
      </c>
      <c r="C206" s="291" t="str">
        <f>IFERROR(IF(VLOOKUP($B206,Расценка!$H$3:$I$9,2,FALSE)="НС",Расценка!$T$11,Расценка!$T$12),"-")</f>
        <v>-</v>
      </c>
      <c r="D206" s="291">
        <f>IFERROR(INDEX(Распределение!$1:$1048576,MATCH($A206,Распределение!$B:$B,0),MATCH($D$8,Распределение!$9:$9,0)),"---")</f>
        <v>0</v>
      </c>
      <c r="E206" s="292">
        <f>IFERROR(SUMIFS('Трудозатраты членов ВТК'!$G$17:$G$117,'Трудозатраты членов ВТК'!$D$17:$D$117,A:A),"-")</f>
        <v>0</v>
      </c>
      <c r="F206" s="293">
        <f>IFERROR(SUMIFS('Трудозатраты членов ВТК'!$F$464:$F$713,'Трудозатраты членов ВТК'!$D$464:$D$713,A:A),"-")</f>
        <v>0</v>
      </c>
      <c r="G206" s="302"/>
      <c r="H206" s="295">
        <f t="shared" si="30"/>
        <v>0</v>
      </c>
      <c r="I206" s="296">
        <f>IFERROR(ROUND(IF('Состав ВТК'!$K199=справочник!$A$5,IF(AND('Расчет участников НИР'!$A206='Состав ВТК'!$B199,$I$10='Состав ВТК'!$I199),$F206*$D206*VLOOKUP('Расчет участников НИР'!$B206,Расценка!$C$3:$E$13,3,FALSE),0),0),2),"-")</f>
        <v>0</v>
      </c>
      <c r="J206" s="296">
        <f>IFERROR(ROUND(IF('Состав ВТК'!$K199=справочник!$A$5,IF(AND('Расчет участников НИР'!$A206='Состав ВТК'!$B199,$J$10='Состав ВТК'!$I199),$F206*$D206*VLOOKUP('Расчет участников НИР'!$B206,Расценка!$C$3:$E$13,3,FALSE),0),0),2),"-")</f>
        <v>0</v>
      </c>
      <c r="K206" s="296">
        <f>IFERROR(ROUND(IF('Состав ВТК'!$K199=справочник!$A$5,IF(AND('Расчет участников НИР'!$A206='Состав ВТК'!$B199,$K$10='Состав ВТК'!$I199),$F206*$D206*VLOOKUP('Расчет участников НИР'!$B206,Расценка!$C$3:$E$13,3,FALSE),0),0),2),"-")</f>
        <v>0</v>
      </c>
      <c r="L206" s="297"/>
      <c r="M206" s="295">
        <f t="shared" si="31"/>
        <v>0</v>
      </c>
      <c r="N206" s="298">
        <f>IFERROR(ROUND(IF('Состав ВТК'!$K199=справочник!$A$5,(IF(AND($A206='Состав ВТК'!$B199,$N$10=$C206),$F206*$D206*VLOOKUP($B206,Расценка!$H$3:$K$9,4,FALSE),0)),0),2),"-")</f>
        <v>0</v>
      </c>
      <c r="O206" s="298">
        <f>IFERROR(ROUND(IF('Состав ВТК'!$K199=справочник!$A$5,(IF(AND($A206='Состав ВТК'!$B199,$O$10=$C206),$F206*$D206*VLOOKUP($B206,Расценка!$H$3:$K$9,4,FALSE),0)),0),2),"-")</f>
        <v>0</v>
      </c>
      <c r="P206" s="299">
        <f t="shared" si="32"/>
        <v>0</v>
      </c>
      <c r="Q206" s="300">
        <f t="shared" si="28"/>
        <v>0</v>
      </c>
      <c r="R206" s="300">
        <f t="shared" si="29"/>
        <v>0</v>
      </c>
      <c r="S206" s="295">
        <f t="shared" si="33"/>
        <v>0</v>
      </c>
      <c r="T206" s="298">
        <f>IFERROR(ROUND(IF(AND('Расчет участников НИР'!$A206='Состав ВТК'!$B199,'Расчет участников НИР'!$T$10='Состав ВТК'!$I199),$E206,0),2),"-")</f>
        <v>0</v>
      </c>
      <c r="U206" s="298">
        <f>IFERROR(ROUND(IF(AND('Расчет участников НИР'!$A206='Состав ВТК'!$B199,'Расчет участников НИР'!$U$10='Состав ВТК'!$I199),$E206,0),2),"-")</f>
        <v>0</v>
      </c>
      <c r="V206" s="298">
        <f>IFERROR(ROUND(IF(AND('Расчет участников НИР'!$A206='Состав ВТК'!$B199,'Расчет участников НИР'!$V$10='Состав ВТК'!$I199),$E206,0),2),"-")</f>
        <v>0</v>
      </c>
      <c r="W206" s="301" t="str">
        <f t="shared" si="34"/>
        <v>-</v>
      </c>
      <c r="X206" s="301" t="str">
        <f t="shared" si="35"/>
        <v>-</v>
      </c>
      <c r="Y206" s="301" t="str">
        <f t="shared" si="36"/>
        <v>-</v>
      </c>
    </row>
    <row r="207" spans="1:25" x14ac:dyDescent="0.25">
      <c r="A207" s="217">
        <f>'Состав ВТК'!B200</f>
        <v>0</v>
      </c>
      <c r="B207" s="290">
        <f>IFERROR(VLOOKUP($A207,Распределение!$B$13:$L$113,11,FALSE),"-")</f>
        <v>0</v>
      </c>
      <c r="C207" s="291" t="str">
        <f>IFERROR(IF(VLOOKUP($B207,Расценка!$H$3:$I$9,2,FALSE)="НС",Расценка!$T$11,Расценка!$T$12),"-")</f>
        <v>-</v>
      </c>
      <c r="D207" s="291">
        <f>IFERROR(INDEX(Распределение!$1:$1048576,MATCH($A207,Распределение!$B:$B,0),MATCH($D$8,Распределение!$9:$9,0)),"---")</f>
        <v>0</v>
      </c>
      <c r="E207" s="292">
        <f>IFERROR(SUMIFS('Трудозатраты членов ВТК'!$G$17:$G$117,'Трудозатраты членов ВТК'!$D$17:$D$117,A:A),"-")</f>
        <v>0</v>
      </c>
      <c r="F207" s="293">
        <f>IFERROR(SUMIFS('Трудозатраты членов ВТК'!$F$464:$F$713,'Трудозатраты членов ВТК'!$D$464:$D$713,A:A),"-")</f>
        <v>0</v>
      </c>
      <c r="G207" s="302"/>
      <c r="H207" s="295">
        <f t="shared" si="30"/>
        <v>0</v>
      </c>
      <c r="I207" s="296">
        <f>IFERROR(ROUND(IF('Состав ВТК'!$K200=справочник!$A$5,IF(AND('Расчет участников НИР'!$A207='Состав ВТК'!$B200,$I$10='Состав ВТК'!$I200),$F207*$D207*VLOOKUP('Расчет участников НИР'!$B207,Расценка!$C$3:$E$13,3,FALSE),0),0),2),"-")</f>
        <v>0</v>
      </c>
      <c r="J207" s="296">
        <f>IFERROR(ROUND(IF('Состав ВТК'!$K200=справочник!$A$5,IF(AND('Расчет участников НИР'!$A207='Состав ВТК'!$B200,$J$10='Состав ВТК'!$I200),$F207*$D207*VLOOKUP('Расчет участников НИР'!$B207,Расценка!$C$3:$E$13,3,FALSE),0),0),2),"-")</f>
        <v>0</v>
      </c>
      <c r="K207" s="296">
        <f>IFERROR(ROUND(IF('Состав ВТК'!$K200=справочник!$A$5,IF(AND('Расчет участников НИР'!$A207='Состав ВТК'!$B200,$K$10='Состав ВТК'!$I200),$F207*$D207*VLOOKUP('Расчет участников НИР'!$B207,Расценка!$C$3:$E$13,3,FALSE),0),0),2),"-")</f>
        <v>0</v>
      </c>
      <c r="L207" s="297"/>
      <c r="M207" s="295">
        <f t="shared" si="31"/>
        <v>0</v>
      </c>
      <c r="N207" s="298">
        <f>IFERROR(ROUND(IF('Состав ВТК'!$K200=справочник!$A$5,(IF(AND($A207='Состав ВТК'!$B200,$N$10=$C207),$F207*$D207*VLOOKUP($B207,Расценка!$H$3:$K$9,4,FALSE),0)),0),2),"-")</f>
        <v>0</v>
      </c>
      <c r="O207" s="298">
        <f>IFERROR(ROUND(IF('Состав ВТК'!$K200=справочник!$A$5,(IF(AND($A207='Состав ВТК'!$B200,$O$10=$C207),$F207*$D207*VLOOKUP($B207,Расценка!$H$3:$K$9,4,FALSE),0)),0),2),"-")</f>
        <v>0</v>
      </c>
      <c r="P207" s="299">
        <f t="shared" si="32"/>
        <v>0</v>
      </c>
      <c r="Q207" s="300">
        <f t="shared" si="28"/>
        <v>0</v>
      </c>
      <c r="R207" s="300">
        <f t="shared" si="29"/>
        <v>0</v>
      </c>
      <c r="S207" s="295">
        <f t="shared" si="33"/>
        <v>0</v>
      </c>
      <c r="T207" s="298">
        <f>IFERROR(ROUND(IF(AND('Расчет участников НИР'!$A207='Состав ВТК'!$B200,'Расчет участников НИР'!$T$10='Состав ВТК'!$I200),$E207,0),2),"-")</f>
        <v>0</v>
      </c>
      <c r="U207" s="298">
        <f>IFERROR(ROUND(IF(AND('Расчет участников НИР'!$A207='Состав ВТК'!$B200,'Расчет участников НИР'!$U$10='Состав ВТК'!$I200),$E207,0),2),"-")</f>
        <v>0</v>
      </c>
      <c r="V207" s="298">
        <f>IFERROR(ROUND(IF(AND('Расчет участников НИР'!$A207='Состав ВТК'!$B200,'Расчет участников НИР'!$V$10='Состав ВТК'!$I200),$E207,0),2),"-")</f>
        <v>0</v>
      </c>
      <c r="W207" s="301" t="str">
        <f t="shared" si="34"/>
        <v>-</v>
      </c>
      <c r="X207" s="301" t="str">
        <f t="shared" si="35"/>
        <v>-</v>
      </c>
      <c r="Y207" s="301" t="str">
        <f t="shared" si="36"/>
        <v>-</v>
      </c>
    </row>
    <row r="208" spans="1:25" x14ac:dyDescent="0.25">
      <c r="A208" s="217">
        <f>'Состав ВТК'!B201</f>
        <v>0</v>
      </c>
      <c r="B208" s="290">
        <f>IFERROR(VLOOKUP($A208,Распределение!$B$13:$L$113,11,FALSE),"-")</f>
        <v>0</v>
      </c>
      <c r="C208" s="291" t="str">
        <f>IFERROR(IF(VLOOKUP($B208,Расценка!$H$3:$I$9,2,FALSE)="НС",Расценка!$T$11,Расценка!$T$12),"-")</f>
        <v>-</v>
      </c>
      <c r="D208" s="291">
        <f>IFERROR(INDEX(Распределение!$1:$1048576,MATCH($A208,Распределение!$B:$B,0),MATCH($D$8,Распределение!$9:$9,0)),"---")</f>
        <v>0</v>
      </c>
      <c r="E208" s="292">
        <f>IFERROR(SUMIFS('Трудозатраты членов ВТК'!$G$17:$G$117,'Трудозатраты членов ВТК'!$D$17:$D$117,A:A),"-")</f>
        <v>0</v>
      </c>
      <c r="F208" s="293">
        <f>IFERROR(SUMIFS('Трудозатраты членов ВТК'!$F$464:$F$713,'Трудозатраты членов ВТК'!$D$464:$D$713,A:A),"-")</f>
        <v>0</v>
      </c>
      <c r="G208" s="302"/>
      <c r="H208" s="295">
        <f t="shared" si="30"/>
        <v>0</v>
      </c>
      <c r="I208" s="296">
        <f>IFERROR(ROUND(IF('Состав ВТК'!$K201=справочник!$A$5,IF(AND('Расчет участников НИР'!$A208='Состав ВТК'!$B201,$I$10='Состав ВТК'!$I201),$F208*$D208*VLOOKUP('Расчет участников НИР'!$B208,Расценка!$C$3:$E$13,3,FALSE),0),0),2),"-")</f>
        <v>0</v>
      </c>
      <c r="J208" s="296">
        <f>IFERROR(ROUND(IF('Состав ВТК'!$K201=справочник!$A$5,IF(AND('Расчет участников НИР'!$A208='Состав ВТК'!$B201,$J$10='Состав ВТК'!$I201),$F208*$D208*VLOOKUP('Расчет участников НИР'!$B208,Расценка!$C$3:$E$13,3,FALSE),0),0),2),"-")</f>
        <v>0</v>
      </c>
      <c r="K208" s="296">
        <f>IFERROR(ROUND(IF('Состав ВТК'!$K201=справочник!$A$5,IF(AND('Расчет участников НИР'!$A208='Состав ВТК'!$B201,$K$10='Состав ВТК'!$I201),$F208*$D208*VLOOKUP('Расчет участников НИР'!$B208,Расценка!$C$3:$E$13,3,FALSE),0),0),2),"-")</f>
        <v>0</v>
      </c>
      <c r="L208" s="297"/>
      <c r="M208" s="295">
        <f t="shared" si="31"/>
        <v>0</v>
      </c>
      <c r="N208" s="298">
        <f>IFERROR(ROUND(IF('Состав ВТК'!$K201=справочник!$A$5,(IF(AND($A208='Состав ВТК'!$B201,$N$10=$C208),$F208*$D208*VLOOKUP($B208,Расценка!$H$3:$K$9,4,FALSE),0)),0),2),"-")</f>
        <v>0</v>
      </c>
      <c r="O208" s="298">
        <f>IFERROR(ROUND(IF('Состав ВТК'!$K201=справочник!$A$5,(IF(AND($A208='Состав ВТК'!$B201,$O$10=$C208),$F208*$D208*VLOOKUP($B208,Расценка!$H$3:$K$9,4,FALSE),0)),0),2),"-")</f>
        <v>0</v>
      </c>
      <c r="P208" s="299">
        <f t="shared" si="32"/>
        <v>0</v>
      </c>
      <c r="Q208" s="300">
        <f t="shared" si="28"/>
        <v>0</v>
      </c>
      <c r="R208" s="300">
        <f t="shared" si="29"/>
        <v>0</v>
      </c>
      <c r="S208" s="295">
        <f t="shared" si="33"/>
        <v>0</v>
      </c>
      <c r="T208" s="298">
        <f>IFERROR(ROUND(IF(AND('Расчет участников НИР'!$A208='Состав ВТК'!$B201,'Расчет участников НИР'!$T$10='Состав ВТК'!$I201),$E208,0),2),"-")</f>
        <v>0</v>
      </c>
      <c r="U208" s="298">
        <f>IFERROR(ROUND(IF(AND('Расчет участников НИР'!$A208='Состав ВТК'!$B201,'Расчет участников НИР'!$U$10='Состав ВТК'!$I201),$E208,0),2),"-")</f>
        <v>0</v>
      </c>
      <c r="V208" s="298">
        <f>IFERROR(ROUND(IF(AND('Расчет участников НИР'!$A208='Состав ВТК'!$B201,'Расчет участников НИР'!$V$10='Состав ВТК'!$I201),$E208,0),2),"-")</f>
        <v>0</v>
      </c>
      <c r="W208" s="301" t="str">
        <f t="shared" si="34"/>
        <v>-</v>
      </c>
      <c r="X208" s="301" t="str">
        <f t="shared" si="35"/>
        <v>-</v>
      </c>
      <c r="Y208" s="301" t="str">
        <f t="shared" si="36"/>
        <v>-</v>
      </c>
    </row>
    <row r="209" spans="1:25" x14ac:dyDescent="0.25">
      <c r="A209" s="217">
        <f>'Состав ВТК'!B202</f>
        <v>0</v>
      </c>
      <c r="B209" s="290">
        <f>IFERROR(VLOOKUP($A209,Распределение!$B$13:$L$113,11,FALSE),"-")</f>
        <v>0</v>
      </c>
      <c r="C209" s="291" t="str">
        <f>IFERROR(IF(VLOOKUP($B209,Расценка!$H$3:$I$9,2,FALSE)="НС",Расценка!$T$11,Расценка!$T$12),"-")</f>
        <v>-</v>
      </c>
      <c r="D209" s="291">
        <f>IFERROR(INDEX(Распределение!$1:$1048576,MATCH($A209,Распределение!$B:$B,0),MATCH($D$8,Распределение!$9:$9,0)),"---")</f>
        <v>0</v>
      </c>
      <c r="E209" s="292">
        <f>IFERROR(SUMIFS('Трудозатраты членов ВТК'!$G$17:$G$117,'Трудозатраты членов ВТК'!$D$17:$D$117,A:A),"-")</f>
        <v>0</v>
      </c>
      <c r="F209" s="293">
        <f>IFERROR(SUMIFS('Трудозатраты членов ВТК'!$F$464:$F$713,'Трудозатраты членов ВТК'!$D$464:$D$713,A:A),"-")</f>
        <v>0</v>
      </c>
      <c r="G209" s="302"/>
      <c r="H209" s="295">
        <f t="shared" si="30"/>
        <v>0</v>
      </c>
      <c r="I209" s="296">
        <f>IFERROR(ROUND(IF('Состав ВТК'!$K202=справочник!$A$5,IF(AND('Расчет участников НИР'!$A209='Состав ВТК'!$B202,$I$10='Состав ВТК'!$I202),$F209*$D209*VLOOKUP('Расчет участников НИР'!$B209,Расценка!$C$3:$E$13,3,FALSE),0),0),2),"-")</f>
        <v>0</v>
      </c>
      <c r="J209" s="296">
        <f>IFERROR(ROUND(IF('Состав ВТК'!$K202=справочник!$A$5,IF(AND('Расчет участников НИР'!$A209='Состав ВТК'!$B202,$J$10='Состав ВТК'!$I202),$F209*$D209*VLOOKUP('Расчет участников НИР'!$B209,Расценка!$C$3:$E$13,3,FALSE),0),0),2),"-")</f>
        <v>0</v>
      </c>
      <c r="K209" s="296">
        <f>IFERROR(ROUND(IF('Состав ВТК'!$K202=справочник!$A$5,IF(AND('Расчет участников НИР'!$A209='Состав ВТК'!$B202,$K$10='Состав ВТК'!$I202),$F209*$D209*VLOOKUP('Расчет участников НИР'!$B209,Расценка!$C$3:$E$13,3,FALSE),0),0),2),"-")</f>
        <v>0</v>
      </c>
      <c r="L209" s="297"/>
      <c r="M209" s="295">
        <f t="shared" si="31"/>
        <v>0</v>
      </c>
      <c r="N209" s="298">
        <f>IFERROR(ROUND(IF('Состав ВТК'!$K202=справочник!$A$5,(IF(AND($A209='Состав ВТК'!$B202,$N$10=$C209),$F209*$D209*VLOOKUP($B209,Расценка!$H$3:$K$9,4,FALSE),0)),0),2),"-")</f>
        <v>0</v>
      </c>
      <c r="O209" s="298">
        <f>IFERROR(ROUND(IF('Состав ВТК'!$K202=справочник!$A$5,(IF(AND($A209='Состав ВТК'!$B202,$O$10=$C209),$F209*$D209*VLOOKUP($B209,Расценка!$H$3:$K$9,4,FALSE),0)),0),2),"-")</f>
        <v>0</v>
      </c>
      <c r="P209" s="299">
        <f t="shared" si="32"/>
        <v>0</v>
      </c>
      <c r="Q209" s="300">
        <f t="shared" ref="Q209:Q272" si="37">ROUND($P209*$Q$13,2)</f>
        <v>0</v>
      </c>
      <c r="R209" s="300">
        <f t="shared" ref="R209:R272" si="38">ROUND($P209*$R$13,2)</f>
        <v>0</v>
      </c>
      <c r="S209" s="295">
        <f t="shared" si="33"/>
        <v>0</v>
      </c>
      <c r="T209" s="298">
        <f>IFERROR(ROUND(IF(AND('Расчет участников НИР'!$A209='Состав ВТК'!$B202,'Расчет участников НИР'!$T$10='Состав ВТК'!$I202),$E209,0),2),"-")</f>
        <v>0</v>
      </c>
      <c r="U209" s="298">
        <f>IFERROR(ROUND(IF(AND('Расчет участников НИР'!$A209='Состав ВТК'!$B202,'Расчет участников НИР'!$U$10='Состав ВТК'!$I202),$E209,0),2),"-")</f>
        <v>0</v>
      </c>
      <c r="V209" s="298">
        <f>IFERROR(ROUND(IF(AND('Расчет участников НИР'!$A209='Состав ВТК'!$B202,'Расчет участников НИР'!$V$10='Состав ВТК'!$I202),$E209,0),2),"-")</f>
        <v>0</v>
      </c>
      <c r="W209" s="301" t="str">
        <f t="shared" si="34"/>
        <v>-</v>
      </c>
      <c r="X209" s="301" t="str">
        <f t="shared" si="35"/>
        <v>-</v>
      </c>
      <c r="Y209" s="301" t="str">
        <f t="shared" si="36"/>
        <v>-</v>
      </c>
    </row>
    <row r="210" spans="1:25" x14ac:dyDescent="0.25">
      <c r="A210" s="217">
        <f>'Состав ВТК'!B203</f>
        <v>0</v>
      </c>
      <c r="B210" s="290">
        <f>IFERROR(VLOOKUP($A210,Распределение!$B$13:$L$113,11,FALSE),"-")</f>
        <v>0</v>
      </c>
      <c r="C210" s="291" t="str">
        <f>IFERROR(IF(VLOOKUP($B210,Расценка!$H$3:$I$9,2,FALSE)="НС",Расценка!$T$11,Расценка!$T$12),"-")</f>
        <v>-</v>
      </c>
      <c r="D210" s="291">
        <f>IFERROR(INDEX(Распределение!$1:$1048576,MATCH($A210,Распределение!$B:$B,0),MATCH($D$8,Распределение!$9:$9,0)),"---")</f>
        <v>0</v>
      </c>
      <c r="E210" s="292">
        <f>IFERROR(SUMIFS('Трудозатраты членов ВТК'!$G$17:$G$117,'Трудозатраты членов ВТК'!$D$17:$D$117,A:A),"-")</f>
        <v>0</v>
      </c>
      <c r="F210" s="293">
        <f>IFERROR(SUMIFS('Трудозатраты членов ВТК'!$F$464:$F$713,'Трудозатраты членов ВТК'!$D$464:$D$713,A:A),"-")</f>
        <v>0</v>
      </c>
      <c r="G210" s="302"/>
      <c r="H210" s="295">
        <f t="shared" si="30"/>
        <v>0</v>
      </c>
      <c r="I210" s="296">
        <f>IFERROR(ROUND(IF('Состав ВТК'!$K203=справочник!$A$5,IF(AND('Расчет участников НИР'!$A210='Состав ВТК'!$B203,$I$10='Состав ВТК'!$I203),$F210*$D210*VLOOKUP('Расчет участников НИР'!$B210,Расценка!$C$3:$E$13,3,FALSE),0),0),2),"-")</f>
        <v>0</v>
      </c>
      <c r="J210" s="296">
        <f>IFERROR(ROUND(IF('Состав ВТК'!$K203=справочник!$A$5,IF(AND('Расчет участников НИР'!$A210='Состав ВТК'!$B203,$J$10='Состав ВТК'!$I203),$F210*$D210*VLOOKUP('Расчет участников НИР'!$B210,Расценка!$C$3:$E$13,3,FALSE),0),0),2),"-")</f>
        <v>0</v>
      </c>
      <c r="K210" s="296">
        <f>IFERROR(ROUND(IF('Состав ВТК'!$K203=справочник!$A$5,IF(AND('Расчет участников НИР'!$A210='Состав ВТК'!$B203,$K$10='Состав ВТК'!$I203),$F210*$D210*VLOOKUP('Расчет участников НИР'!$B210,Расценка!$C$3:$E$13,3,FALSE),0),0),2),"-")</f>
        <v>0</v>
      </c>
      <c r="L210" s="297"/>
      <c r="M210" s="295">
        <f t="shared" si="31"/>
        <v>0</v>
      </c>
      <c r="N210" s="298">
        <f>IFERROR(ROUND(IF('Состав ВТК'!$K203=справочник!$A$5,(IF(AND($A210='Состав ВТК'!$B203,$N$10=$C210),$F210*$D210*VLOOKUP($B210,Расценка!$H$3:$K$9,4,FALSE),0)),0),2),"-")</f>
        <v>0</v>
      </c>
      <c r="O210" s="298">
        <f>IFERROR(ROUND(IF('Состав ВТК'!$K203=справочник!$A$5,(IF(AND($A210='Состав ВТК'!$B203,$O$10=$C210),$F210*$D210*VLOOKUP($B210,Расценка!$H$3:$K$9,4,FALSE),0)),0),2),"-")</f>
        <v>0</v>
      </c>
      <c r="P210" s="299">
        <f t="shared" si="32"/>
        <v>0</v>
      </c>
      <c r="Q210" s="300">
        <f t="shared" si="37"/>
        <v>0</v>
      </c>
      <c r="R210" s="300">
        <f t="shared" si="38"/>
        <v>0</v>
      </c>
      <c r="S210" s="295">
        <f t="shared" si="33"/>
        <v>0</v>
      </c>
      <c r="T210" s="298">
        <f>IFERROR(ROUND(IF(AND('Расчет участников НИР'!$A210='Состав ВТК'!$B203,'Расчет участников НИР'!$T$10='Состав ВТК'!$I203),$E210,0),2),"-")</f>
        <v>0</v>
      </c>
      <c r="U210" s="298">
        <f>IFERROR(ROUND(IF(AND('Расчет участников НИР'!$A210='Состав ВТК'!$B203,'Расчет участников НИР'!$U$10='Состав ВТК'!$I203),$E210,0),2),"-")</f>
        <v>0</v>
      </c>
      <c r="V210" s="298">
        <f>IFERROR(ROUND(IF(AND('Расчет участников НИР'!$A210='Состав ВТК'!$B203,'Расчет участников НИР'!$V$10='Состав ВТК'!$I203),$E210,0),2),"-")</f>
        <v>0</v>
      </c>
      <c r="W210" s="301" t="str">
        <f t="shared" si="34"/>
        <v>-</v>
      </c>
      <c r="X210" s="301" t="str">
        <f t="shared" si="35"/>
        <v>-</v>
      </c>
      <c r="Y210" s="301" t="str">
        <f t="shared" si="36"/>
        <v>-</v>
      </c>
    </row>
    <row r="211" spans="1:25" x14ac:dyDescent="0.25">
      <c r="A211" s="217">
        <f>'Состав ВТК'!B204</f>
        <v>0</v>
      </c>
      <c r="B211" s="290">
        <f>IFERROR(VLOOKUP($A211,Распределение!$B$13:$L$113,11,FALSE),"-")</f>
        <v>0</v>
      </c>
      <c r="C211" s="291" t="str">
        <f>IFERROR(IF(VLOOKUP($B211,Расценка!$H$3:$I$9,2,FALSE)="НС",Расценка!$T$11,Расценка!$T$12),"-")</f>
        <v>-</v>
      </c>
      <c r="D211" s="291">
        <f>IFERROR(INDEX(Распределение!$1:$1048576,MATCH($A211,Распределение!$B:$B,0),MATCH($D$8,Распределение!$9:$9,0)),"---")</f>
        <v>0</v>
      </c>
      <c r="E211" s="292">
        <f>IFERROR(SUMIFS('Трудозатраты членов ВТК'!$G$17:$G$117,'Трудозатраты членов ВТК'!$D$17:$D$117,A:A),"-")</f>
        <v>0</v>
      </c>
      <c r="F211" s="293">
        <f>IFERROR(SUMIFS('Трудозатраты членов ВТК'!$F$464:$F$713,'Трудозатраты членов ВТК'!$D$464:$D$713,A:A),"-")</f>
        <v>0</v>
      </c>
      <c r="G211" s="302"/>
      <c r="H211" s="295">
        <f t="shared" si="30"/>
        <v>0</v>
      </c>
      <c r="I211" s="296">
        <f>IFERROR(ROUND(IF('Состав ВТК'!$K204=справочник!$A$5,IF(AND('Расчет участников НИР'!$A211='Состав ВТК'!$B204,$I$10='Состав ВТК'!$I204),$F211*$D211*VLOOKUP('Расчет участников НИР'!$B211,Расценка!$C$3:$E$13,3,FALSE),0),0),2),"-")</f>
        <v>0</v>
      </c>
      <c r="J211" s="296">
        <f>IFERROR(ROUND(IF('Состав ВТК'!$K204=справочник!$A$5,IF(AND('Расчет участников НИР'!$A211='Состав ВТК'!$B204,$J$10='Состав ВТК'!$I204),$F211*$D211*VLOOKUP('Расчет участников НИР'!$B211,Расценка!$C$3:$E$13,3,FALSE),0),0),2),"-")</f>
        <v>0</v>
      </c>
      <c r="K211" s="296">
        <f>IFERROR(ROUND(IF('Состав ВТК'!$K204=справочник!$A$5,IF(AND('Расчет участников НИР'!$A211='Состав ВТК'!$B204,$K$10='Состав ВТК'!$I204),$F211*$D211*VLOOKUP('Расчет участников НИР'!$B211,Расценка!$C$3:$E$13,3,FALSE),0),0),2),"-")</f>
        <v>0</v>
      </c>
      <c r="L211" s="297"/>
      <c r="M211" s="295">
        <f t="shared" si="31"/>
        <v>0</v>
      </c>
      <c r="N211" s="298">
        <f>IFERROR(ROUND(IF('Состав ВТК'!$K204=справочник!$A$5,(IF(AND($A211='Состав ВТК'!$B204,$N$10=$C211),$F211*$D211*VLOOKUP($B211,Расценка!$H$3:$K$9,4,FALSE),0)),0),2),"-")</f>
        <v>0</v>
      </c>
      <c r="O211" s="298">
        <f>IFERROR(ROUND(IF('Состав ВТК'!$K204=справочник!$A$5,(IF(AND($A211='Состав ВТК'!$B204,$O$10=$C211),$F211*$D211*VLOOKUP($B211,Расценка!$H$3:$K$9,4,FALSE),0)),0),2),"-")</f>
        <v>0</v>
      </c>
      <c r="P211" s="299">
        <f t="shared" si="32"/>
        <v>0</v>
      </c>
      <c r="Q211" s="300">
        <f t="shared" si="37"/>
        <v>0</v>
      </c>
      <c r="R211" s="300">
        <f t="shared" si="38"/>
        <v>0</v>
      </c>
      <c r="S211" s="295">
        <f t="shared" si="33"/>
        <v>0</v>
      </c>
      <c r="T211" s="298">
        <f>IFERROR(ROUND(IF(AND('Расчет участников НИР'!$A211='Состав ВТК'!$B204,'Расчет участников НИР'!$T$10='Состав ВТК'!$I204),$E211,0),2),"-")</f>
        <v>0</v>
      </c>
      <c r="U211" s="298">
        <f>IFERROR(ROUND(IF(AND('Расчет участников НИР'!$A211='Состав ВТК'!$B204,'Расчет участников НИР'!$U$10='Состав ВТК'!$I204),$E211,0),2),"-")</f>
        <v>0</v>
      </c>
      <c r="V211" s="298">
        <f>IFERROR(ROUND(IF(AND('Расчет участников НИР'!$A211='Состав ВТК'!$B204,'Расчет участников НИР'!$V$10='Состав ВТК'!$I204),$E211,0),2),"-")</f>
        <v>0</v>
      </c>
      <c r="W211" s="301" t="str">
        <f t="shared" si="34"/>
        <v>-</v>
      </c>
      <c r="X211" s="301" t="str">
        <f t="shared" si="35"/>
        <v>-</v>
      </c>
      <c r="Y211" s="301" t="str">
        <f t="shared" si="36"/>
        <v>-</v>
      </c>
    </row>
    <row r="212" spans="1:25" x14ac:dyDescent="0.25">
      <c r="A212" s="217">
        <f>'Состав ВТК'!B205</f>
        <v>0</v>
      </c>
      <c r="B212" s="290">
        <f>IFERROR(VLOOKUP($A212,Распределение!$B$13:$L$113,11,FALSE),"-")</f>
        <v>0</v>
      </c>
      <c r="C212" s="291" t="str">
        <f>IFERROR(IF(VLOOKUP($B212,Расценка!$H$3:$I$9,2,FALSE)="НС",Расценка!$T$11,Расценка!$T$12),"-")</f>
        <v>-</v>
      </c>
      <c r="D212" s="291">
        <f>IFERROR(INDEX(Распределение!$1:$1048576,MATCH($A212,Распределение!$B:$B,0),MATCH($D$8,Распределение!$9:$9,0)),"---")</f>
        <v>0</v>
      </c>
      <c r="E212" s="292">
        <f>IFERROR(SUMIFS('Трудозатраты членов ВТК'!$G$17:$G$117,'Трудозатраты членов ВТК'!$D$17:$D$117,A:A),"-")</f>
        <v>0</v>
      </c>
      <c r="F212" s="293">
        <f>IFERROR(SUMIFS('Трудозатраты членов ВТК'!$F$464:$F$713,'Трудозатраты членов ВТК'!$D$464:$D$713,A:A),"-")</f>
        <v>0</v>
      </c>
      <c r="G212" s="302"/>
      <c r="H212" s="295">
        <f t="shared" si="30"/>
        <v>0</v>
      </c>
      <c r="I212" s="296">
        <f>IFERROR(ROUND(IF('Состав ВТК'!$K205=справочник!$A$5,IF(AND('Расчет участников НИР'!$A212='Состав ВТК'!$B205,$I$10='Состав ВТК'!$I205),$F212*$D212*VLOOKUP('Расчет участников НИР'!$B212,Расценка!$C$3:$E$13,3,FALSE),0),0),2),"-")</f>
        <v>0</v>
      </c>
      <c r="J212" s="296">
        <f>IFERROR(ROUND(IF('Состав ВТК'!$K205=справочник!$A$5,IF(AND('Расчет участников НИР'!$A212='Состав ВТК'!$B205,$J$10='Состав ВТК'!$I205),$F212*$D212*VLOOKUP('Расчет участников НИР'!$B212,Расценка!$C$3:$E$13,3,FALSE),0),0),2),"-")</f>
        <v>0</v>
      </c>
      <c r="K212" s="296">
        <f>IFERROR(ROUND(IF('Состав ВТК'!$K205=справочник!$A$5,IF(AND('Расчет участников НИР'!$A212='Состав ВТК'!$B205,$K$10='Состав ВТК'!$I205),$F212*$D212*VLOOKUP('Расчет участников НИР'!$B212,Расценка!$C$3:$E$13,3,FALSE),0),0),2),"-")</f>
        <v>0</v>
      </c>
      <c r="L212" s="297"/>
      <c r="M212" s="295">
        <f t="shared" si="31"/>
        <v>0</v>
      </c>
      <c r="N212" s="298">
        <f>IFERROR(ROUND(IF('Состав ВТК'!$K205=справочник!$A$5,(IF(AND($A212='Состав ВТК'!$B205,$N$10=$C212),$F212*$D212*VLOOKUP($B212,Расценка!$H$3:$K$9,4,FALSE),0)),0),2),"-")</f>
        <v>0</v>
      </c>
      <c r="O212" s="298">
        <f>IFERROR(ROUND(IF('Состав ВТК'!$K205=справочник!$A$5,(IF(AND($A212='Состав ВТК'!$B205,$O$10=$C212),$F212*$D212*VLOOKUP($B212,Расценка!$H$3:$K$9,4,FALSE),0)),0),2),"-")</f>
        <v>0</v>
      </c>
      <c r="P212" s="299">
        <f t="shared" si="32"/>
        <v>0</v>
      </c>
      <c r="Q212" s="300">
        <f t="shared" si="37"/>
        <v>0</v>
      </c>
      <c r="R212" s="300">
        <f t="shared" si="38"/>
        <v>0</v>
      </c>
      <c r="S212" s="295">
        <f t="shared" si="33"/>
        <v>0</v>
      </c>
      <c r="T212" s="298">
        <f>IFERROR(ROUND(IF(AND('Расчет участников НИР'!$A212='Состав ВТК'!$B205,'Расчет участников НИР'!$T$10='Состав ВТК'!$I205),$E212,0),2),"-")</f>
        <v>0</v>
      </c>
      <c r="U212" s="298">
        <f>IFERROR(ROUND(IF(AND('Расчет участников НИР'!$A212='Состав ВТК'!$B205,'Расчет участников НИР'!$U$10='Состав ВТК'!$I205),$E212,0),2),"-")</f>
        <v>0</v>
      </c>
      <c r="V212" s="298">
        <f>IFERROR(ROUND(IF(AND('Расчет участников НИР'!$A212='Состав ВТК'!$B205,'Расчет участников НИР'!$V$10='Состав ВТК'!$I205),$E212,0),2),"-")</f>
        <v>0</v>
      </c>
      <c r="W212" s="301" t="str">
        <f t="shared" si="34"/>
        <v>-</v>
      </c>
      <c r="X212" s="301" t="str">
        <f t="shared" si="35"/>
        <v>-</v>
      </c>
      <c r="Y212" s="301" t="str">
        <f t="shared" si="36"/>
        <v>-</v>
      </c>
    </row>
    <row r="213" spans="1:25" x14ac:dyDescent="0.25">
      <c r="A213" s="217">
        <f>'Состав ВТК'!B206</f>
        <v>0</v>
      </c>
      <c r="B213" s="290">
        <f>IFERROR(VLOOKUP($A213,Распределение!$B$13:$L$113,11,FALSE),"-")</f>
        <v>0</v>
      </c>
      <c r="C213" s="291" t="str">
        <f>IFERROR(IF(VLOOKUP($B213,Расценка!$H$3:$I$9,2,FALSE)="НС",Расценка!$T$11,Расценка!$T$12),"-")</f>
        <v>-</v>
      </c>
      <c r="D213" s="291">
        <f>IFERROR(INDEX(Распределение!$1:$1048576,MATCH($A213,Распределение!$B:$B,0),MATCH($D$8,Распределение!$9:$9,0)),"---")</f>
        <v>0</v>
      </c>
      <c r="E213" s="292">
        <f>IFERROR(SUMIFS('Трудозатраты членов ВТК'!$G$17:$G$117,'Трудозатраты членов ВТК'!$D$17:$D$117,A:A),"-")</f>
        <v>0</v>
      </c>
      <c r="F213" s="293">
        <f>IFERROR(SUMIFS('Трудозатраты членов ВТК'!$F$464:$F$713,'Трудозатраты членов ВТК'!$D$464:$D$713,A:A),"-")</f>
        <v>0</v>
      </c>
      <c r="G213" s="302"/>
      <c r="H213" s="295">
        <f t="shared" si="30"/>
        <v>0</v>
      </c>
      <c r="I213" s="296">
        <f>IFERROR(ROUND(IF('Состав ВТК'!$K206=справочник!$A$5,IF(AND('Расчет участников НИР'!$A213='Состав ВТК'!$B206,$I$10='Состав ВТК'!$I206),$F213*$D213*VLOOKUP('Расчет участников НИР'!$B213,Расценка!$C$3:$E$13,3,FALSE),0),0),2),"-")</f>
        <v>0</v>
      </c>
      <c r="J213" s="296">
        <f>IFERROR(ROUND(IF('Состав ВТК'!$K206=справочник!$A$5,IF(AND('Расчет участников НИР'!$A213='Состав ВТК'!$B206,$J$10='Состав ВТК'!$I206),$F213*$D213*VLOOKUP('Расчет участников НИР'!$B213,Расценка!$C$3:$E$13,3,FALSE),0),0),2),"-")</f>
        <v>0</v>
      </c>
      <c r="K213" s="296">
        <f>IFERROR(ROUND(IF('Состав ВТК'!$K206=справочник!$A$5,IF(AND('Расчет участников НИР'!$A213='Состав ВТК'!$B206,$K$10='Состав ВТК'!$I206),$F213*$D213*VLOOKUP('Расчет участников НИР'!$B213,Расценка!$C$3:$E$13,3,FALSE),0),0),2),"-")</f>
        <v>0</v>
      </c>
      <c r="L213" s="297"/>
      <c r="M213" s="295">
        <f t="shared" si="31"/>
        <v>0</v>
      </c>
      <c r="N213" s="298">
        <f>IFERROR(ROUND(IF('Состав ВТК'!$K206=справочник!$A$5,(IF(AND($A213='Состав ВТК'!$B206,$N$10=$C213),$F213*$D213*VLOOKUP($B213,Расценка!$H$3:$K$9,4,FALSE),0)),0),2),"-")</f>
        <v>0</v>
      </c>
      <c r="O213" s="298">
        <f>IFERROR(ROUND(IF('Состав ВТК'!$K206=справочник!$A$5,(IF(AND($A213='Состав ВТК'!$B206,$O$10=$C213),$F213*$D213*VLOOKUP($B213,Расценка!$H$3:$K$9,4,FALSE),0)),0),2),"-")</f>
        <v>0</v>
      </c>
      <c r="P213" s="299">
        <f t="shared" si="32"/>
        <v>0</v>
      </c>
      <c r="Q213" s="300">
        <f t="shared" si="37"/>
        <v>0</v>
      </c>
      <c r="R213" s="300">
        <f t="shared" si="38"/>
        <v>0</v>
      </c>
      <c r="S213" s="295">
        <f t="shared" si="33"/>
        <v>0</v>
      </c>
      <c r="T213" s="298">
        <f>IFERROR(ROUND(IF(AND('Расчет участников НИР'!$A213='Состав ВТК'!$B206,'Расчет участников НИР'!$T$10='Состав ВТК'!$I206),$E213,0),2),"-")</f>
        <v>0</v>
      </c>
      <c r="U213" s="298">
        <f>IFERROR(ROUND(IF(AND('Расчет участников НИР'!$A213='Состав ВТК'!$B206,'Расчет участников НИР'!$U$10='Состав ВТК'!$I206),$E213,0),2),"-")</f>
        <v>0</v>
      </c>
      <c r="V213" s="298">
        <f>IFERROR(ROUND(IF(AND('Расчет участников НИР'!$A213='Состав ВТК'!$B206,'Расчет участников НИР'!$V$10='Состав ВТК'!$I206),$E213,0),2),"-")</f>
        <v>0</v>
      </c>
      <c r="W213" s="301" t="str">
        <f t="shared" si="34"/>
        <v>-</v>
      </c>
      <c r="X213" s="301" t="str">
        <f t="shared" si="35"/>
        <v>-</v>
      </c>
      <c r="Y213" s="301" t="str">
        <f t="shared" si="36"/>
        <v>-</v>
      </c>
    </row>
    <row r="214" spans="1:25" x14ac:dyDescent="0.25">
      <c r="A214" s="217">
        <f>'Состав ВТК'!B207</f>
        <v>0</v>
      </c>
      <c r="B214" s="290">
        <f>IFERROR(VLOOKUP($A214,Распределение!$B$13:$L$113,11,FALSE),"-")</f>
        <v>0</v>
      </c>
      <c r="C214" s="291" t="str">
        <f>IFERROR(IF(VLOOKUP($B214,Расценка!$H$3:$I$9,2,FALSE)="НС",Расценка!$T$11,Расценка!$T$12),"-")</f>
        <v>-</v>
      </c>
      <c r="D214" s="291">
        <f>IFERROR(INDEX(Распределение!$1:$1048576,MATCH($A214,Распределение!$B:$B,0),MATCH($D$8,Распределение!$9:$9,0)),"---")</f>
        <v>0</v>
      </c>
      <c r="E214" s="292">
        <f>IFERROR(SUMIFS('Трудозатраты членов ВТК'!$G$17:$G$117,'Трудозатраты членов ВТК'!$D$17:$D$117,A:A),"-")</f>
        <v>0</v>
      </c>
      <c r="F214" s="293">
        <f>IFERROR(SUMIFS('Трудозатраты членов ВТК'!$F$464:$F$713,'Трудозатраты членов ВТК'!$D$464:$D$713,A:A),"-")</f>
        <v>0</v>
      </c>
      <c r="G214" s="302"/>
      <c r="H214" s="295">
        <f t="shared" si="30"/>
        <v>0</v>
      </c>
      <c r="I214" s="296">
        <f>IFERROR(ROUND(IF('Состав ВТК'!$K207=справочник!$A$5,IF(AND('Расчет участников НИР'!$A214='Состав ВТК'!$B207,$I$10='Состав ВТК'!$I207),$F214*$D214*VLOOKUP('Расчет участников НИР'!$B214,Расценка!$C$3:$E$13,3,FALSE),0),0),2),"-")</f>
        <v>0</v>
      </c>
      <c r="J214" s="296">
        <f>IFERROR(ROUND(IF('Состав ВТК'!$K207=справочник!$A$5,IF(AND('Расчет участников НИР'!$A214='Состав ВТК'!$B207,$J$10='Состав ВТК'!$I207),$F214*$D214*VLOOKUP('Расчет участников НИР'!$B214,Расценка!$C$3:$E$13,3,FALSE),0),0),2),"-")</f>
        <v>0</v>
      </c>
      <c r="K214" s="296">
        <f>IFERROR(ROUND(IF('Состав ВТК'!$K207=справочник!$A$5,IF(AND('Расчет участников НИР'!$A214='Состав ВТК'!$B207,$K$10='Состав ВТК'!$I207),$F214*$D214*VLOOKUP('Расчет участников НИР'!$B214,Расценка!$C$3:$E$13,3,FALSE),0),0),2),"-")</f>
        <v>0</v>
      </c>
      <c r="L214" s="297"/>
      <c r="M214" s="295">
        <f t="shared" si="31"/>
        <v>0</v>
      </c>
      <c r="N214" s="298">
        <f>IFERROR(ROUND(IF('Состав ВТК'!$K207=справочник!$A$5,(IF(AND($A214='Состав ВТК'!$B207,$N$10=$C214),$F214*$D214*VLOOKUP($B214,Расценка!$H$3:$K$9,4,FALSE),0)),0),2),"-")</f>
        <v>0</v>
      </c>
      <c r="O214" s="298">
        <f>IFERROR(ROUND(IF('Состав ВТК'!$K207=справочник!$A$5,(IF(AND($A214='Состав ВТК'!$B207,$O$10=$C214),$F214*$D214*VLOOKUP($B214,Расценка!$H$3:$K$9,4,FALSE),0)),0),2),"-")</f>
        <v>0</v>
      </c>
      <c r="P214" s="299">
        <f t="shared" si="32"/>
        <v>0</v>
      </c>
      <c r="Q214" s="300">
        <f t="shared" si="37"/>
        <v>0</v>
      </c>
      <c r="R214" s="300">
        <f t="shared" si="38"/>
        <v>0</v>
      </c>
      <c r="S214" s="295">
        <f t="shared" si="33"/>
        <v>0</v>
      </c>
      <c r="T214" s="298">
        <f>IFERROR(ROUND(IF(AND('Расчет участников НИР'!$A214='Состав ВТК'!$B207,'Расчет участников НИР'!$T$10='Состав ВТК'!$I207),$E214,0),2),"-")</f>
        <v>0</v>
      </c>
      <c r="U214" s="298">
        <f>IFERROR(ROUND(IF(AND('Расчет участников НИР'!$A214='Состав ВТК'!$B207,'Расчет участников НИР'!$U$10='Состав ВТК'!$I207),$E214,0),2),"-")</f>
        <v>0</v>
      </c>
      <c r="V214" s="298">
        <f>IFERROR(ROUND(IF(AND('Расчет участников НИР'!$A214='Состав ВТК'!$B207,'Расчет участников НИР'!$V$10='Состав ВТК'!$I207),$E214,0),2),"-")</f>
        <v>0</v>
      </c>
      <c r="W214" s="301" t="str">
        <f t="shared" si="34"/>
        <v>-</v>
      </c>
      <c r="X214" s="301" t="str">
        <f t="shared" si="35"/>
        <v>-</v>
      </c>
      <c r="Y214" s="301" t="str">
        <f t="shared" si="36"/>
        <v>-</v>
      </c>
    </row>
    <row r="215" spans="1:25" x14ac:dyDescent="0.25">
      <c r="A215" s="217">
        <f>'Состав ВТК'!B208</f>
        <v>0</v>
      </c>
      <c r="B215" s="290">
        <f>IFERROR(VLOOKUP($A215,Распределение!$B$13:$L$113,11,FALSE),"-")</f>
        <v>0</v>
      </c>
      <c r="C215" s="291" t="str">
        <f>IFERROR(IF(VLOOKUP($B215,Расценка!$H$3:$I$9,2,FALSE)="НС",Расценка!$T$11,Расценка!$T$12),"-")</f>
        <v>-</v>
      </c>
      <c r="D215" s="291">
        <f>IFERROR(INDEX(Распределение!$1:$1048576,MATCH($A215,Распределение!$B:$B,0),MATCH($D$8,Распределение!$9:$9,0)),"---")</f>
        <v>0</v>
      </c>
      <c r="E215" s="292">
        <f>IFERROR(SUMIFS('Трудозатраты членов ВТК'!$G$17:$G$117,'Трудозатраты членов ВТК'!$D$17:$D$117,A:A),"-")</f>
        <v>0</v>
      </c>
      <c r="F215" s="293">
        <f>IFERROR(SUMIFS('Трудозатраты членов ВТК'!$F$464:$F$713,'Трудозатраты членов ВТК'!$D$464:$D$713,A:A),"-")</f>
        <v>0</v>
      </c>
      <c r="G215" s="302"/>
      <c r="H215" s="295">
        <f t="shared" si="30"/>
        <v>0</v>
      </c>
      <c r="I215" s="296">
        <f>IFERROR(ROUND(IF('Состав ВТК'!$K208=справочник!$A$5,IF(AND('Расчет участников НИР'!$A215='Состав ВТК'!$B208,$I$10='Состав ВТК'!$I208),$F215*$D215*VLOOKUP('Расчет участников НИР'!$B215,Расценка!$C$3:$E$13,3,FALSE),0),0),2),"-")</f>
        <v>0</v>
      </c>
      <c r="J215" s="296">
        <f>IFERROR(ROUND(IF('Состав ВТК'!$K208=справочник!$A$5,IF(AND('Расчет участников НИР'!$A215='Состав ВТК'!$B208,$J$10='Состав ВТК'!$I208),$F215*$D215*VLOOKUP('Расчет участников НИР'!$B215,Расценка!$C$3:$E$13,3,FALSE),0),0),2),"-")</f>
        <v>0</v>
      </c>
      <c r="K215" s="296">
        <f>IFERROR(ROUND(IF('Состав ВТК'!$K208=справочник!$A$5,IF(AND('Расчет участников НИР'!$A215='Состав ВТК'!$B208,$K$10='Состав ВТК'!$I208),$F215*$D215*VLOOKUP('Расчет участников НИР'!$B215,Расценка!$C$3:$E$13,3,FALSE),0),0),2),"-")</f>
        <v>0</v>
      </c>
      <c r="L215" s="297"/>
      <c r="M215" s="295">
        <f t="shared" si="31"/>
        <v>0</v>
      </c>
      <c r="N215" s="298">
        <f>IFERROR(ROUND(IF('Состав ВТК'!$K208=справочник!$A$5,(IF(AND($A215='Состав ВТК'!$B208,$N$10=$C215),$F215*$D215*VLOOKUP($B215,Расценка!$H$3:$K$9,4,FALSE),0)),0),2),"-")</f>
        <v>0</v>
      </c>
      <c r="O215" s="298">
        <f>IFERROR(ROUND(IF('Состав ВТК'!$K208=справочник!$A$5,(IF(AND($A215='Состав ВТК'!$B208,$O$10=$C215),$F215*$D215*VLOOKUP($B215,Расценка!$H$3:$K$9,4,FALSE),0)),0),2),"-")</f>
        <v>0</v>
      </c>
      <c r="P215" s="299">
        <f t="shared" si="32"/>
        <v>0</v>
      </c>
      <c r="Q215" s="300">
        <f t="shared" si="37"/>
        <v>0</v>
      </c>
      <c r="R215" s="300">
        <f t="shared" si="38"/>
        <v>0</v>
      </c>
      <c r="S215" s="295">
        <f t="shared" si="33"/>
        <v>0</v>
      </c>
      <c r="T215" s="298">
        <f>IFERROR(ROUND(IF(AND('Расчет участников НИР'!$A215='Состав ВТК'!$B208,'Расчет участников НИР'!$T$10='Состав ВТК'!$I208),$E215,0),2),"-")</f>
        <v>0</v>
      </c>
      <c r="U215" s="298">
        <f>IFERROR(ROUND(IF(AND('Расчет участников НИР'!$A215='Состав ВТК'!$B208,'Расчет участников НИР'!$U$10='Состав ВТК'!$I208),$E215,0),2),"-")</f>
        <v>0</v>
      </c>
      <c r="V215" s="298">
        <f>IFERROR(ROUND(IF(AND('Расчет участников НИР'!$A215='Состав ВТК'!$B208,'Расчет участников НИР'!$V$10='Состав ВТК'!$I208),$E215,0),2),"-")</f>
        <v>0</v>
      </c>
      <c r="W215" s="301" t="str">
        <f t="shared" si="34"/>
        <v>-</v>
      </c>
      <c r="X215" s="301" t="str">
        <f t="shared" si="35"/>
        <v>-</v>
      </c>
      <c r="Y215" s="301" t="str">
        <f t="shared" si="36"/>
        <v>-</v>
      </c>
    </row>
    <row r="216" spans="1:25" x14ac:dyDescent="0.25">
      <c r="A216" s="217">
        <f>'Состав ВТК'!B209</f>
        <v>0</v>
      </c>
      <c r="B216" s="290">
        <f>IFERROR(VLOOKUP($A216,Распределение!$B$13:$L$113,11,FALSE),"-")</f>
        <v>0</v>
      </c>
      <c r="C216" s="291" t="str">
        <f>IFERROR(IF(VLOOKUP($B216,Расценка!$H$3:$I$9,2,FALSE)="НС",Расценка!$T$11,Расценка!$T$12),"-")</f>
        <v>-</v>
      </c>
      <c r="D216" s="291">
        <f>IFERROR(INDEX(Распределение!$1:$1048576,MATCH($A216,Распределение!$B:$B,0),MATCH($D$8,Распределение!$9:$9,0)),"---")</f>
        <v>0</v>
      </c>
      <c r="E216" s="292">
        <f>IFERROR(SUMIFS('Трудозатраты членов ВТК'!$G$17:$G$117,'Трудозатраты членов ВТК'!$D$17:$D$117,A:A),"-")</f>
        <v>0</v>
      </c>
      <c r="F216" s="293">
        <f>IFERROR(SUMIFS('Трудозатраты членов ВТК'!$F$464:$F$713,'Трудозатраты членов ВТК'!$D$464:$D$713,A:A),"-")</f>
        <v>0</v>
      </c>
      <c r="G216" s="302"/>
      <c r="H216" s="295">
        <f t="shared" si="30"/>
        <v>0</v>
      </c>
      <c r="I216" s="296">
        <f>IFERROR(ROUND(IF('Состав ВТК'!$K209=справочник!$A$5,IF(AND('Расчет участников НИР'!$A216='Состав ВТК'!$B209,$I$10='Состав ВТК'!$I209),$F216*$D216*VLOOKUP('Расчет участников НИР'!$B216,Расценка!$C$3:$E$13,3,FALSE),0),0),2),"-")</f>
        <v>0</v>
      </c>
      <c r="J216" s="296">
        <f>IFERROR(ROUND(IF('Состав ВТК'!$K209=справочник!$A$5,IF(AND('Расчет участников НИР'!$A216='Состав ВТК'!$B209,$J$10='Состав ВТК'!$I209),$F216*$D216*VLOOKUP('Расчет участников НИР'!$B216,Расценка!$C$3:$E$13,3,FALSE),0),0),2),"-")</f>
        <v>0</v>
      </c>
      <c r="K216" s="296">
        <f>IFERROR(ROUND(IF('Состав ВТК'!$K209=справочник!$A$5,IF(AND('Расчет участников НИР'!$A216='Состав ВТК'!$B209,$K$10='Состав ВТК'!$I209),$F216*$D216*VLOOKUP('Расчет участников НИР'!$B216,Расценка!$C$3:$E$13,3,FALSE),0),0),2),"-")</f>
        <v>0</v>
      </c>
      <c r="L216" s="297"/>
      <c r="M216" s="295">
        <f t="shared" si="31"/>
        <v>0</v>
      </c>
      <c r="N216" s="298">
        <f>IFERROR(ROUND(IF('Состав ВТК'!$K209=справочник!$A$5,(IF(AND($A216='Состав ВТК'!$B209,$N$10=$C216),$F216*$D216*VLOOKUP($B216,Расценка!$H$3:$K$9,4,FALSE),0)),0),2),"-")</f>
        <v>0</v>
      </c>
      <c r="O216" s="298">
        <f>IFERROR(ROUND(IF('Состав ВТК'!$K209=справочник!$A$5,(IF(AND($A216='Состав ВТК'!$B209,$O$10=$C216),$F216*$D216*VLOOKUP($B216,Расценка!$H$3:$K$9,4,FALSE),0)),0),2),"-")</f>
        <v>0</v>
      </c>
      <c r="P216" s="299">
        <f t="shared" si="32"/>
        <v>0</v>
      </c>
      <c r="Q216" s="300">
        <f t="shared" si="37"/>
        <v>0</v>
      </c>
      <c r="R216" s="300">
        <f t="shared" si="38"/>
        <v>0</v>
      </c>
      <c r="S216" s="295">
        <f t="shared" si="33"/>
        <v>0</v>
      </c>
      <c r="T216" s="298">
        <f>IFERROR(ROUND(IF(AND('Расчет участников НИР'!$A216='Состав ВТК'!$B209,'Расчет участников НИР'!$T$10='Состав ВТК'!$I209),$E216,0),2),"-")</f>
        <v>0</v>
      </c>
      <c r="U216" s="298">
        <f>IFERROR(ROUND(IF(AND('Расчет участников НИР'!$A216='Состав ВТК'!$B209,'Расчет участников НИР'!$U$10='Состав ВТК'!$I209),$E216,0),2),"-")</f>
        <v>0</v>
      </c>
      <c r="V216" s="298">
        <f>IFERROR(ROUND(IF(AND('Расчет участников НИР'!$A216='Состав ВТК'!$B209,'Расчет участников НИР'!$V$10='Состав ВТК'!$I209),$E216,0),2),"-")</f>
        <v>0</v>
      </c>
      <c r="W216" s="301" t="str">
        <f t="shared" si="34"/>
        <v>-</v>
      </c>
      <c r="X216" s="301" t="str">
        <f t="shared" si="35"/>
        <v>-</v>
      </c>
      <c r="Y216" s="301" t="str">
        <f t="shared" si="36"/>
        <v>-</v>
      </c>
    </row>
    <row r="217" spans="1:25" x14ac:dyDescent="0.25">
      <c r="A217" s="217">
        <f>'Состав ВТК'!B210</f>
        <v>0</v>
      </c>
      <c r="B217" s="290">
        <f>IFERROR(VLOOKUP($A217,Распределение!$B$13:$L$113,11,FALSE),"-")</f>
        <v>0</v>
      </c>
      <c r="C217" s="291" t="str">
        <f>IFERROR(IF(VLOOKUP($B217,Расценка!$H$3:$I$9,2,FALSE)="НС",Расценка!$T$11,Расценка!$T$12),"-")</f>
        <v>-</v>
      </c>
      <c r="D217" s="291">
        <f>IFERROR(INDEX(Распределение!$1:$1048576,MATCH($A217,Распределение!$B:$B,0),MATCH($D$8,Распределение!$9:$9,0)),"---")</f>
        <v>0</v>
      </c>
      <c r="E217" s="292">
        <f>IFERROR(SUMIFS('Трудозатраты членов ВТК'!$G$17:$G$117,'Трудозатраты членов ВТК'!$D$17:$D$117,A:A),"-")</f>
        <v>0</v>
      </c>
      <c r="F217" s="293">
        <f>IFERROR(SUMIFS('Трудозатраты членов ВТК'!$F$464:$F$713,'Трудозатраты членов ВТК'!$D$464:$D$713,A:A),"-")</f>
        <v>0</v>
      </c>
      <c r="G217" s="302"/>
      <c r="H217" s="295">
        <f t="shared" si="30"/>
        <v>0</v>
      </c>
      <c r="I217" s="296">
        <f>IFERROR(ROUND(IF('Состав ВТК'!$K210=справочник!$A$5,IF(AND('Расчет участников НИР'!$A217='Состав ВТК'!$B210,$I$10='Состав ВТК'!$I210),$F217*$D217*VLOOKUP('Расчет участников НИР'!$B217,Расценка!$C$3:$E$13,3,FALSE),0),0),2),"-")</f>
        <v>0</v>
      </c>
      <c r="J217" s="296">
        <f>IFERROR(ROUND(IF('Состав ВТК'!$K210=справочник!$A$5,IF(AND('Расчет участников НИР'!$A217='Состав ВТК'!$B210,$J$10='Состав ВТК'!$I210),$F217*$D217*VLOOKUP('Расчет участников НИР'!$B217,Расценка!$C$3:$E$13,3,FALSE),0),0),2),"-")</f>
        <v>0</v>
      </c>
      <c r="K217" s="296">
        <f>IFERROR(ROUND(IF('Состав ВТК'!$K210=справочник!$A$5,IF(AND('Расчет участников НИР'!$A217='Состав ВТК'!$B210,$K$10='Состав ВТК'!$I210),$F217*$D217*VLOOKUP('Расчет участников НИР'!$B217,Расценка!$C$3:$E$13,3,FALSE),0),0),2),"-")</f>
        <v>0</v>
      </c>
      <c r="L217" s="297"/>
      <c r="M217" s="295">
        <f t="shared" si="31"/>
        <v>0</v>
      </c>
      <c r="N217" s="298">
        <f>IFERROR(ROUND(IF('Состав ВТК'!$K210=справочник!$A$5,(IF(AND($A217='Состав ВТК'!$B210,$N$10=$C217),$F217*$D217*VLOOKUP($B217,Расценка!$H$3:$K$9,4,FALSE),0)),0),2),"-")</f>
        <v>0</v>
      </c>
      <c r="O217" s="298">
        <f>IFERROR(ROUND(IF('Состав ВТК'!$K210=справочник!$A$5,(IF(AND($A217='Состав ВТК'!$B210,$O$10=$C217),$F217*$D217*VLOOKUP($B217,Расценка!$H$3:$K$9,4,FALSE),0)),0),2),"-")</f>
        <v>0</v>
      </c>
      <c r="P217" s="299">
        <f t="shared" si="32"/>
        <v>0</v>
      </c>
      <c r="Q217" s="300">
        <f t="shared" si="37"/>
        <v>0</v>
      </c>
      <c r="R217" s="300">
        <f t="shared" si="38"/>
        <v>0</v>
      </c>
      <c r="S217" s="295">
        <f t="shared" si="33"/>
        <v>0</v>
      </c>
      <c r="T217" s="298">
        <f>IFERROR(ROUND(IF(AND('Расчет участников НИР'!$A217='Состав ВТК'!$B210,'Расчет участников НИР'!$T$10='Состав ВТК'!$I210),$E217,0),2),"-")</f>
        <v>0</v>
      </c>
      <c r="U217" s="298">
        <f>IFERROR(ROUND(IF(AND('Расчет участников НИР'!$A217='Состав ВТК'!$B210,'Расчет участников НИР'!$U$10='Состав ВТК'!$I210),$E217,0),2),"-")</f>
        <v>0</v>
      </c>
      <c r="V217" s="298">
        <f>IFERROR(ROUND(IF(AND('Расчет участников НИР'!$A217='Состав ВТК'!$B210,'Расчет участников НИР'!$V$10='Состав ВТК'!$I210),$E217,0),2),"-")</f>
        <v>0</v>
      </c>
      <c r="W217" s="301" t="str">
        <f t="shared" si="34"/>
        <v>-</v>
      </c>
      <c r="X217" s="301" t="str">
        <f t="shared" si="35"/>
        <v>-</v>
      </c>
      <c r="Y217" s="301" t="str">
        <f t="shared" si="36"/>
        <v>-</v>
      </c>
    </row>
    <row r="218" spans="1:25" x14ac:dyDescent="0.25">
      <c r="A218" s="217">
        <f>'Состав ВТК'!B211</f>
        <v>0</v>
      </c>
      <c r="B218" s="290">
        <f>IFERROR(VLOOKUP($A218,Распределение!$B$13:$L$113,11,FALSE),"-")</f>
        <v>0</v>
      </c>
      <c r="C218" s="291" t="str">
        <f>IFERROR(IF(VLOOKUP($B218,Расценка!$H$3:$I$9,2,FALSE)="НС",Расценка!$T$11,Расценка!$T$12),"-")</f>
        <v>-</v>
      </c>
      <c r="D218" s="291">
        <f>IFERROR(INDEX(Распределение!$1:$1048576,MATCH($A218,Распределение!$B:$B,0),MATCH($D$8,Распределение!$9:$9,0)),"---")</f>
        <v>0</v>
      </c>
      <c r="E218" s="292">
        <f>IFERROR(SUMIFS('Трудозатраты членов ВТК'!$G$17:$G$117,'Трудозатраты членов ВТК'!$D$17:$D$117,A:A),"-")</f>
        <v>0</v>
      </c>
      <c r="F218" s="293">
        <f>IFERROR(SUMIFS('Трудозатраты членов ВТК'!$F$464:$F$713,'Трудозатраты членов ВТК'!$D$464:$D$713,A:A),"-")</f>
        <v>0</v>
      </c>
      <c r="G218" s="302"/>
      <c r="H218" s="295">
        <f t="shared" si="30"/>
        <v>0</v>
      </c>
      <c r="I218" s="296">
        <f>IFERROR(ROUND(IF('Состав ВТК'!$K211=справочник!$A$5,IF(AND('Расчет участников НИР'!$A218='Состав ВТК'!$B211,$I$10='Состав ВТК'!$I211),$F218*$D218*VLOOKUP('Расчет участников НИР'!$B218,Расценка!$C$3:$E$13,3,FALSE),0),0),2),"-")</f>
        <v>0</v>
      </c>
      <c r="J218" s="296">
        <f>IFERROR(ROUND(IF('Состав ВТК'!$K211=справочник!$A$5,IF(AND('Расчет участников НИР'!$A218='Состав ВТК'!$B211,$J$10='Состав ВТК'!$I211),$F218*$D218*VLOOKUP('Расчет участников НИР'!$B218,Расценка!$C$3:$E$13,3,FALSE),0),0),2),"-")</f>
        <v>0</v>
      </c>
      <c r="K218" s="296">
        <f>IFERROR(ROUND(IF('Состав ВТК'!$K211=справочник!$A$5,IF(AND('Расчет участников НИР'!$A218='Состав ВТК'!$B211,$K$10='Состав ВТК'!$I211),$F218*$D218*VLOOKUP('Расчет участников НИР'!$B218,Расценка!$C$3:$E$13,3,FALSE),0),0),2),"-")</f>
        <v>0</v>
      </c>
      <c r="L218" s="297"/>
      <c r="M218" s="295">
        <f t="shared" si="31"/>
        <v>0</v>
      </c>
      <c r="N218" s="298">
        <f>IFERROR(ROUND(IF('Состав ВТК'!$K211=справочник!$A$5,(IF(AND($A218='Состав ВТК'!$B211,$N$10=$C218),$F218*$D218*VLOOKUP($B218,Расценка!$H$3:$K$9,4,FALSE),0)),0),2),"-")</f>
        <v>0</v>
      </c>
      <c r="O218" s="298">
        <f>IFERROR(ROUND(IF('Состав ВТК'!$K211=справочник!$A$5,(IF(AND($A218='Состав ВТК'!$B211,$O$10=$C218),$F218*$D218*VLOOKUP($B218,Расценка!$H$3:$K$9,4,FALSE),0)),0),2),"-")</f>
        <v>0</v>
      </c>
      <c r="P218" s="299">
        <f t="shared" si="32"/>
        <v>0</v>
      </c>
      <c r="Q218" s="300">
        <f t="shared" si="37"/>
        <v>0</v>
      </c>
      <c r="R218" s="300">
        <f t="shared" si="38"/>
        <v>0</v>
      </c>
      <c r="S218" s="295">
        <f t="shared" si="33"/>
        <v>0</v>
      </c>
      <c r="T218" s="298">
        <f>IFERROR(ROUND(IF(AND('Расчет участников НИР'!$A218='Состав ВТК'!$B211,'Расчет участников НИР'!$T$10='Состав ВТК'!$I211),$E218,0),2),"-")</f>
        <v>0</v>
      </c>
      <c r="U218" s="298">
        <f>IFERROR(ROUND(IF(AND('Расчет участников НИР'!$A218='Состав ВТК'!$B211,'Расчет участников НИР'!$U$10='Состав ВТК'!$I211),$E218,0),2),"-")</f>
        <v>0</v>
      </c>
      <c r="V218" s="298">
        <f>IFERROR(ROUND(IF(AND('Расчет участников НИР'!$A218='Состав ВТК'!$B211,'Расчет участников НИР'!$V$10='Состав ВТК'!$I211),$E218,0),2),"-")</f>
        <v>0</v>
      </c>
      <c r="W218" s="301" t="str">
        <f t="shared" si="34"/>
        <v>-</v>
      </c>
      <c r="X218" s="301" t="str">
        <f t="shared" si="35"/>
        <v>-</v>
      </c>
      <c r="Y218" s="301" t="str">
        <f t="shared" si="36"/>
        <v>-</v>
      </c>
    </row>
    <row r="219" spans="1:25" x14ac:dyDescent="0.25">
      <c r="A219" s="217">
        <f>'Состав ВТК'!B212</f>
        <v>0</v>
      </c>
      <c r="B219" s="290">
        <f>IFERROR(VLOOKUP($A219,Распределение!$B$13:$L$113,11,FALSE),"-")</f>
        <v>0</v>
      </c>
      <c r="C219" s="291" t="str">
        <f>IFERROR(IF(VLOOKUP($B219,Расценка!$H$3:$I$9,2,FALSE)="НС",Расценка!$T$11,Расценка!$T$12),"-")</f>
        <v>-</v>
      </c>
      <c r="D219" s="291">
        <f>IFERROR(INDEX(Распределение!$1:$1048576,MATCH($A219,Распределение!$B:$B,0),MATCH($D$8,Распределение!$9:$9,0)),"---")</f>
        <v>0</v>
      </c>
      <c r="E219" s="292">
        <f>IFERROR(SUMIFS('Трудозатраты членов ВТК'!$G$17:$G$117,'Трудозатраты членов ВТК'!$D$17:$D$117,A:A),"-")</f>
        <v>0</v>
      </c>
      <c r="F219" s="293">
        <f>IFERROR(SUMIFS('Трудозатраты членов ВТК'!$F$464:$F$713,'Трудозатраты членов ВТК'!$D$464:$D$713,A:A),"-")</f>
        <v>0</v>
      </c>
      <c r="G219" s="302"/>
      <c r="H219" s="295">
        <f t="shared" si="30"/>
        <v>0</v>
      </c>
      <c r="I219" s="296">
        <f>IFERROR(ROUND(IF('Состав ВТК'!$K212=справочник!$A$5,IF(AND('Расчет участников НИР'!$A219='Состав ВТК'!$B212,$I$10='Состав ВТК'!$I212),$F219*$D219*VLOOKUP('Расчет участников НИР'!$B219,Расценка!$C$3:$E$13,3,FALSE),0),0),2),"-")</f>
        <v>0</v>
      </c>
      <c r="J219" s="296">
        <f>IFERROR(ROUND(IF('Состав ВТК'!$K212=справочник!$A$5,IF(AND('Расчет участников НИР'!$A219='Состав ВТК'!$B212,$J$10='Состав ВТК'!$I212),$F219*$D219*VLOOKUP('Расчет участников НИР'!$B219,Расценка!$C$3:$E$13,3,FALSE),0),0),2),"-")</f>
        <v>0</v>
      </c>
      <c r="K219" s="296">
        <f>IFERROR(ROUND(IF('Состав ВТК'!$K212=справочник!$A$5,IF(AND('Расчет участников НИР'!$A219='Состав ВТК'!$B212,$K$10='Состав ВТК'!$I212),$F219*$D219*VLOOKUP('Расчет участников НИР'!$B219,Расценка!$C$3:$E$13,3,FALSE),0),0),2),"-")</f>
        <v>0</v>
      </c>
      <c r="L219" s="297"/>
      <c r="M219" s="295">
        <f t="shared" si="31"/>
        <v>0</v>
      </c>
      <c r="N219" s="298">
        <f>IFERROR(ROUND(IF('Состав ВТК'!$K212=справочник!$A$5,(IF(AND($A219='Состав ВТК'!$B212,$N$10=$C219),$F219*$D219*VLOOKUP($B219,Расценка!$H$3:$K$9,4,FALSE),0)),0),2),"-")</f>
        <v>0</v>
      </c>
      <c r="O219" s="298">
        <f>IFERROR(ROUND(IF('Состав ВТК'!$K212=справочник!$A$5,(IF(AND($A219='Состав ВТК'!$B212,$O$10=$C219),$F219*$D219*VLOOKUP($B219,Расценка!$H$3:$K$9,4,FALSE),0)),0),2),"-")</f>
        <v>0</v>
      </c>
      <c r="P219" s="299">
        <f t="shared" si="32"/>
        <v>0</v>
      </c>
      <c r="Q219" s="300">
        <f t="shared" si="37"/>
        <v>0</v>
      </c>
      <c r="R219" s="300">
        <f t="shared" si="38"/>
        <v>0</v>
      </c>
      <c r="S219" s="295">
        <f t="shared" si="33"/>
        <v>0</v>
      </c>
      <c r="T219" s="298">
        <f>IFERROR(ROUND(IF(AND('Расчет участников НИР'!$A219='Состав ВТК'!$B212,'Расчет участников НИР'!$T$10='Состав ВТК'!$I212),$E219,0),2),"-")</f>
        <v>0</v>
      </c>
      <c r="U219" s="298">
        <f>IFERROR(ROUND(IF(AND('Расчет участников НИР'!$A219='Состав ВТК'!$B212,'Расчет участников НИР'!$U$10='Состав ВТК'!$I212),$E219,0),2),"-")</f>
        <v>0</v>
      </c>
      <c r="V219" s="298">
        <f>IFERROR(ROUND(IF(AND('Расчет участников НИР'!$A219='Состав ВТК'!$B212,'Расчет участников НИР'!$V$10='Состав ВТК'!$I212),$E219,0),2),"-")</f>
        <v>0</v>
      </c>
      <c r="W219" s="301" t="str">
        <f t="shared" si="34"/>
        <v>-</v>
      </c>
      <c r="X219" s="301" t="str">
        <f t="shared" si="35"/>
        <v>-</v>
      </c>
      <c r="Y219" s="301" t="str">
        <f t="shared" si="36"/>
        <v>-</v>
      </c>
    </row>
    <row r="220" spans="1:25" x14ac:dyDescent="0.25">
      <c r="A220" s="217">
        <f>'Состав ВТК'!B213</f>
        <v>0</v>
      </c>
      <c r="B220" s="290">
        <f>IFERROR(VLOOKUP($A220,Распределение!$B$13:$L$113,11,FALSE),"-")</f>
        <v>0</v>
      </c>
      <c r="C220" s="291" t="str">
        <f>IFERROR(IF(VLOOKUP($B220,Расценка!$H$3:$I$9,2,FALSE)="НС",Расценка!$T$11,Расценка!$T$12),"-")</f>
        <v>-</v>
      </c>
      <c r="D220" s="291">
        <f>IFERROR(INDEX(Распределение!$1:$1048576,MATCH($A220,Распределение!$B:$B,0),MATCH($D$8,Распределение!$9:$9,0)),"---")</f>
        <v>0</v>
      </c>
      <c r="E220" s="292">
        <f>IFERROR(SUMIFS('Трудозатраты членов ВТК'!$G$17:$G$117,'Трудозатраты членов ВТК'!$D$17:$D$117,A:A),"-")</f>
        <v>0</v>
      </c>
      <c r="F220" s="293">
        <f>IFERROR(SUMIFS('Трудозатраты членов ВТК'!$F$464:$F$713,'Трудозатраты членов ВТК'!$D$464:$D$713,A:A),"-")</f>
        <v>0</v>
      </c>
      <c r="G220" s="302"/>
      <c r="H220" s="295">
        <f t="shared" si="30"/>
        <v>0</v>
      </c>
      <c r="I220" s="296">
        <f>IFERROR(ROUND(IF('Состав ВТК'!$K213=справочник!$A$5,IF(AND('Расчет участников НИР'!$A220='Состав ВТК'!$B213,$I$10='Состав ВТК'!$I213),$F220*$D220*VLOOKUP('Расчет участников НИР'!$B220,Расценка!$C$3:$E$13,3,FALSE),0),0),2),"-")</f>
        <v>0</v>
      </c>
      <c r="J220" s="296">
        <f>IFERROR(ROUND(IF('Состав ВТК'!$K213=справочник!$A$5,IF(AND('Расчет участников НИР'!$A220='Состав ВТК'!$B213,$J$10='Состав ВТК'!$I213),$F220*$D220*VLOOKUP('Расчет участников НИР'!$B220,Расценка!$C$3:$E$13,3,FALSE),0),0),2),"-")</f>
        <v>0</v>
      </c>
      <c r="K220" s="296">
        <f>IFERROR(ROUND(IF('Состав ВТК'!$K213=справочник!$A$5,IF(AND('Расчет участников НИР'!$A220='Состав ВТК'!$B213,$K$10='Состав ВТК'!$I213),$F220*$D220*VLOOKUP('Расчет участников НИР'!$B220,Расценка!$C$3:$E$13,3,FALSE),0),0),2),"-")</f>
        <v>0</v>
      </c>
      <c r="L220" s="297"/>
      <c r="M220" s="295">
        <f t="shared" si="31"/>
        <v>0</v>
      </c>
      <c r="N220" s="298">
        <f>IFERROR(ROUND(IF('Состав ВТК'!$K213=справочник!$A$5,(IF(AND($A220='Состав ВТК'!$B213,$N$10=$C220),$F220*$D220*VLOOKUP($B220,Расценка!$H$3:$K$9,4,FALSE),0)),0),2),"-")</f>
        <v>0</v>
      </c>
      <c r="O220" s="298">
        <f>IFERROR(ROUND(IF('Состав ВТК'!$K213=справочник!$A$5,(IF(AND($A220='Состав ВТК'!$B213,$O$10=$C220),$F220*$D220*VLOOKUP($B220,Расценка!$H$3:$K$9,4,FALSE),0)),0),2),"-")</f>
        <v>0</v>
      </c>
      <c r="P220" s="299">
        <f t="shared" si="32"/>
        <v>0</v>
      </c>
      <c r="Q220" s="300">
        <f t="shared" si="37"/>
        <v>0</v>
      </c>
      <c r="R220" s="300">
        <f t="shared" si="38"/>
        <v>0</v>
      </c>
      <c r="S220" s="295">
        <f t="shared" si="33"/>
        <v>0</v>
      </c>
      <c r="T220" s="298">
        <f>IFERROR(ROUND(IF(AND('Расчет участников НИР'!$A220='Состав ВТК'!$B213,'Расчет участников НИР'!$T$10='Состав ВТК'!$I213),$E220,0),2),"-")</f>
        <v>0</v>
      </c>
      <c r="U220" s="298">
        <f>IFERROR(ROUND(IF(AND('Расчет участников НИР'!$A220='Состав ВТК'!$B213,'Расчет участников НИР'!$U$10='Состав ВТК'!$I213),$E220,0),2),"-")</f>
        <v>0</v>
      </c>
      <c r="V220" s="298">
        <f>IFERROR(ROUND(IF(AND('Расчет участников НИР'!$A220='Состав ВТК'!$B213,'Расчет участников НИР'!$V$10='Состав ВТК'!$I213),$E220,0),2),"-")</f>
        <v>0</v>
      </c>
      <c r="W220" s="301" t="str">
        <f t="shared" si="34"/>
        <v>-</v>
      </c>
      <c r="X220" s="301" t="str">
        <f t="shared" si="35"/>
        <v>-</v>
      </c>
      <c r="Y220" s="301" t="str">
        <f t="shared" si="36"/>
        <v>-</v>
      </c>
    </row>
    <row r="221" spans="1:25" x14ac:dyDescent="0.25">
      <c r="A221" s="217">
        <f>'Состав ВТК'!B214</f>
        <v>0</v>
      </c>
      <c r="B221" s="290">
        <f>IFERROR(VLOOKUP($A221,Распределение!$B$13:$L$113,11,FALSE),"-")</f>
        <v>0</v>
      </c>
      <c r="C221" s="291" t="str">
        <f>IFERROR(IF(VLOOKUP($B221,Расценка!$H$3:$I$9,2,FALSE)="НС",Расценка!$T$11,Расценка!$T$12),"-")</f>
        <v>-</v>
      </c>
      <c r="D221" s="291">
        <f>IFERROR(INDEX(Распределение!$1:$1048576,MATCH($A221,Распределение!$B:$B,0),MATCH($D$8,Распределение!$9:$9,0)),"---")</f>
        <v>0</v>
      </c>
      <c r="E221" s="292">
        <f>IFERROR(SUMIFS('Трудозатраты членов ВТК'!$G$17:$G$117,'Трудозатраты членов ВТК'!$D$17:$D$117,A:A),"-")</f>
        <v>0</v>
      </c>
      <c r="F221" s="293">
        <f>IFERROR(SUMIFS('Трудозатраты членов ВТК'!$F$464:$F$713,'Трудозатраты членов ВТК'!$D$464:$D$713,A:A),"-")</f>
        <v>0</v>
      </c>
      <c r="G221" s="302"/>
      <c r="H221" s="295">
        <f t="shared" si="30"/>
        <v>0</v>
      </c>
      <c r="I221" s="296">
        <f>IFERROR(ROUND(IF('Состав ВТК'!$K214=справочник!$A$5,IF(AND('Расчет участников НИР'!$A221='Состав ВТК'!$B214,$I$10='Состав ВТК'!$I214),$F221*$D221*VLOOKUP('Расчет участников НИР'!$B221,Расценка!$C$3:$E$13,3,FALSE),0),0),2),"-")</f>
        <v>0</v>
      </c>
      <c r="J221" s="296">
        <f>IFERROR(ROUND(IF('Состав ВТК'!$K214=справочник!$A$5,IF(AND('Расчет участников НИР'!$A221='Состав ВТК'!$B214,$J$10='Состав ВТК'!$I214),$F221*$D221*VLOOKUP('Расчет участников НИР'!$B221,Расценка!$C$3:$E$13,3,FALSE),0),0),2),"-")</f>
        <v>0</v>
      </c>
      <c r="K221" s="296">
        <f>IFERROR(ROUND(IF('Состав ВТК'!$K214=справочник!$A$5,IF(AND('Расчет участников НИР'!$A221='Состав ВТК'!$B214,$K$10='Состав ВТК'!$I214),$F221*$D221*VLOOKUP('Расчет участников НИР'!$B221,Расценка!$C$3:$E$13,3,FALSE),0),0),2),"-")</f>
        <v>0</v>
      </c>
      <c r="L221" s="297"/>
      <c r="M221" s="295">
        <f t="shared" si="31"/>
        <v>0</v>
      </c>
      <c r="N221" s="298">
        <f>IFERROR(ROUND(IF('Состав ВТК'!$K214=справочник!$A$5,(IF(AND($A221='Состав ВТК'!$B214,$N$10=$C221),$F221*$D221*VLOOKUP($B221,Расценка!$H$3:$K$9,4,FALSE),0)),0),2),"-")</f>
        <v>0</v>
      </c>
      <c r="O221" s="298">
        <f>IFERROR(ROUND(IF('Состав ВТК'!$K214=справочник!$A$5,(IF(AND($A221='Состав ВТК'!$B214,$O$10=$C221),$F221*$D221*VLOOKUP($B221,Расценка!$H$3:$K$9,4,FALSE),0)),0),2),"-")</f>
        <v>0</v>
      </c>
      <c r="P221" s="299">
        <f t="shared" si="32"/>
        <v>0</v>
      </c>
      <c r="Q221" s="300">
        <f t="shared" si="37"/>
        <v>0</v>
      </c>
      <c r="R221" s="300">
        <f t="shared" si="38"/>
        <v>0</v>
      </c>
      <c r="S221" s="295">
        <f t="shared" si="33"/>
        <v>0</v>
      </c>
      <c r="T221" s="298">
        <f>IFERROR(ROUND(IF(AND('Расчет участников НИР'!$A221='Состав ВТК'!$B214,'Расчет участников НИР'!$T$10='Состав ВТК'!$I214),$E221,0),2),"-")</f>
        <v>0</v>
      </c>
      <c r="U221" s="298">
        <f>IFERROR(ROUND(IF(AND('Расчет участников НИР'!$A221='Состав ВТК'!$B214,'Расчет участников НИР'!$U$10='Состав ВТК'!$I214),$E221,0),2),"-")</f>
        <v>0</v>
      </c>
      <c r="V221" s="298">
        <f>IFERROR(ROUND(IF(AND('Расчет участников НИР'!$A221='Состав ВТК'!$B214,'Расчет участников НИР'!$V$10='Состав ВТК'!$I214),$E221,0),2),"-")</f>
        <v>0</v>
      </c>
      <c r="W221" s="301" t="str">
        <f t="shared" si="34"/>
        <v>-</v>
      </c>
      <c r="X221" s="301" t="str">
        <f t="shared" si="35"/>
        <v>-</v>
      </c>
      <c r="Y221" s="301" t="str">
        <f t="shared" si="36"/>
        <v>-</v>
      </c>
    </row>
    <row r="222" spans="1:25" x14ac:dyDescent="0.25">
      <c r="A222" s="217">
        <f>'Состав ВТК'!B215</f>
        <v>0</v>
      </c>
      <c r="B222" s="290">
        <f>IFERROR(VLOOKUP($A222,Распределение!$B$13:$L$113,11,FALSE),"-")</f>
        <v>0</v>
      </c>
      <c r="C222" s="291" t="str">
        <f>IFERROR(IF(VLOOKUP($B222,Расценка!$H$3:$I$9,2,FALSE)="НС",Расценка!$T$11,Расценка!$T$12),"-")</f>
        <v>-</v>
      </c>
      <c r="D222" s="291">
        <f>IFERROR(INDEX(Распределение!$1:$1048576,MATCH($A222,Распределение!$B:$B,0),MATCH($D$8,Распределение!$9:$9,0)),"---")</f>
        <v>0</v>
      </c>
      <c r="E222" s="292">
        <f>IFERROR(SUMIFS('Трудозатраты членов ВТК'!$G$17:$G$117,'Трудозатраты членов ВТК'!$D$17:$D$117,A:A),"-")</f>
        <v>0</v>
      </c>
      <c r="F222" s="293">
        <f>IFERROR(SUMIFS('Трудозатраты членов ВТК'!$F$464:$F$713,'Трудозатраты членов ВТК'!$D$464:$D$713,A:A),"-")</f>
        <v>0</v>
      </c>
      <c r="G222" s="302"/>
      <c r="H222" s="295">
        <f t="shared" si="30"/>
        <v>0</v>
      </c>
      <c r="I222" s="296">
        <f>IFERROR(ROUND(IF('Состав ВТК'!$K215=справочник!$A$5,IF(AND('Расчет участников НИР'!$A222='Состав ВТК'!$B215,$I$10='Состав ВТК'!$I215),$F222*$D222*VLOOKUP('Расчет участников НИР'!$B222,Расценка!$C$3:$E$13,3,FALSE),0),0),2),"-")</f>
        <v>0</v>
      </c>
      <c r="J222" s="296">
        <f>IFERROR(ROUND(IF('Состав ВТК'!$K215=справочник!$A$5,IF(AND('Расчет участников НИР'!$A222='Состав ВТК'!$B215,$J$10='Состав ВТК'!$I215),$F222*$D222*VLOOKUP('Расчет участников НИР'!$B222,Расценка!$C$3:$E$13,3,FALSE),0),0),2),"-")</f>
        <v>0</v>
      </c>
      <c r="K222" s="296">
        <f>IFERROR(ROUND(IF('Состав ВТК'!$K215=справочник!$A$5,IF(AND('Расчет участников НИР'!$A222='Состав ВТК'!$B215,$K$10='Состав ВТК'!$I215),$F222*$D222*VLOOKUP('Расчет участников НИР'!$B222,Расценка!$C$3:$E$13,3,FALSE),0),0),2),"-")</f>
        <v>0</v>
      </c>
      <c r="L222" s="297"/>
      <c r="M222" s="295">
        <f t="shared" si="31"/>
        <v>0</v>
      </c>
      <c r="N222" s="298">
        <f>IFERROR(ROUND(IF('Состав ВТК'!$K215=справочник!$A$5,(IF(AND($A222='Состав ВТК'!$B215,$N$10=$C222),$F222*$D222*VLOOKUP($B222,Расценка!$H$3:$K$9,4,FALSE),0)),0),2),"-")</f>
        <v>0</v>
      </c>
      <c r="O222" s="298">
        <f>IFERROR(ROUND(IF('Состав ВТК'!$K215=справочник!$A$5,(IF(AND($A222='Состав ВТК'!$B215,$O$10=$C222),$F222*$D222*VLOOKUP($B222,Расценка!$H$3:$K$9,4,FALSE),0)),0),2),"-")</f>
        <v>0</v>
      </c>
      <c r="P222" s="299">
        <f t="shared" si="32"/>
        <v>0</v>
      </c>
      <c r="Q222" s="300">
        <f t="shared" si="37"/>
        <v>0</v>
      </c>
      <c r="R222" s="300">
        <f t="shared" si="38"/>
        <v>0</v>
      </c>
      <c r="S222" s="295">
        <f t="shared" si="33"/>
        <v>0</v>
      </c>
      <c r="T222" s="298">
        <f>IFERROR(ROUND(IF(AND('Расчет участников НИР'!$A222='Состав ВТК'!$B215,'Расчет участников НИР'!$T$10='Состав ВТК'!$I215),$E222,0),2),"-")</f>
        <v>0</v>
      </c>
      <c r="U222" s="298">
        <f>IFERROR(ROUND(IF(AND('Расчет участников НИР'!$A222='Состав ВТК'!$B215,'Расчет участников НИР'!$U$10='Состав ВТК'!$I215),$E222,0),2),"-")</f>
        <v>0</v>
      </c>
      <c r="V222" s="298">
        <f>IFERROR(ROUND(IF(AND('Расчет участников НИР'!$A222='Состав ВТК'!$B215,'Расчет участников НИР'!$V$10='Состав ВТК'!$I215),$E222,0),2),"-")</f>
        <v>0</v>
      </c>
      <c r="W222" s="301" t="str">
        <f t="shared" si="34"/>
        <v>-</v>
      </c>
      <c r="X222" s="301" t="str">
        <f t="shared" si="35"/>
        <v>-</v>
      </c>
      <c r="Y222" s="301" t="str">
        <f t="shared" si="36"/>
        <v>-</v>
      </c>
    </row>
    <row r="223" spans="1:25" x14ac:dyDescent="0.25">
      <c r="A223" s="217">
        <f>'Состав ВТК'!B216</f>
        <v>0</v>
      </c>
      <c r="B223" s="290">
        <f>IFERROR(VLOOKUP($A223,Распределение!$B$13:$L$113,11,FALSE),"-")</f>
        <v>0</v>
      </c>
      <c r="C223" s="291" t="str">
        <f>IFERROR(IF(VLOOKUP($B223,Расценка!$H$3:$I$9,2,FALSE)="НС",Расценка!$T$11,Расценка!$T$12),"-")</f>
        <v>-</v>
      </c>
      <c r="D223" s="291">
        <f>IFERROR(INDEX(Распределение!$1:$1048576,MATCH($A223,Распределение!$B:$B,0),MATCH($D$8,Распределение!$9:$9,0)),"---")</f>
        <v>0</v>
      </c>
      <c r="E223" s="292">
        <f>IFERROR(SUMIFS('Трудозатраты членов ВТК'!$G$17:$G$117,'Трудозатраты членов ВТК'!$D$17:$D$117,A:A),"-")</f>
        <v>0</v>
      </c>
      <c r="F223" s="293">
        <f>IFERROR(SUMIFS('Трудозатраты членов ВТК'!$F$464:$F$713,'Трудозатраты членов ВТК'!$D$464:$D$713,A:A),"-")</f>
        <v>0</v>
      </c>
      <c r="G223" s="302"/>
      <c r="H223" s="295">
        <f t="shared" si="30"/>
        <v>0</v>
      </c>
      <c r="I223" s="296">
        <f>IFERROR(ROUND(IF('Состав ВТК'!$K216=справочник!$A$5,IF(AND('Расчет участников НИР'!$A223='Состав ВТК'!$B216,$I$10='Состав ВТК'!$I216),$F223*$D223*VLOOKUP('Расчет участников НИР'!$B223,Расценка!$C$3:$E$13,3,FALSE),0),0),2),"-")</f>
        <v>0</v>
      </c>
      <c r="J223" s="296">
        <f>IFERROR(ROUND(IF('Состав ВТК'!$K216=справочник!$A$5,IF(AND('Расчет участников НИР'!$A223='Состав ВТК'!$B216,$J$10='Состав ВТК'!$I216),$F223*$D223*VLOOKUP('Расчет участников НИР'!$B223,Расценка!$C$3:$E$13,3,FALSE),0),0),2),"-")</f>
        <v>0</v>
      </c>
      <c r="K223" s="296">
        <f>IFERROR(ROUND(IF('Состав ВТК'!$K216=справочник!$A$5,IF(AND('Расчет участников НИР'!$A223='Состав ВТК'!$B216,$K$10='Состав ВТК'!$I216),$F223*$D223*VLOOKUP('Расчет участников НИР'!$B223,Расценка!$C$3:$E$13,3,FALSE),0),0),2),"-")</f>
        <v>0</v>
      </c>
      <c r="L223" s="297"/>
      <c r="M223" s="295">
        <f t="shared" si="31"/>
        <v>0</v>
      </c>
      <c r="N223" s="298">
        <f>IFERROR(ROUND(IF('Состав ВТК'!$K216=справочник!$A$5,(IF(AND($A223='Состав ВТК'!$B216,$N$10=$C223),$F223*$D223*VLOOKUP($B223,Расценка!$H$3:$K$9,4,FALSE),0)),0),2),"-")</f>
        <v>0</v>
      </c>
      <c r="O223" s="298">
        <f>IFERROR(ROUND(IF('Состав ВТК'!$K216=справочник!$A$5,(IF(AND($A223='Состав ВТК'!$B216,$O$10=$C223),$F223*$D223*VLOOKUP($B223,Расценка!$H$3:$K$9,4,FALSE),0)),0),2),"-")</f>
        <v>0</v>
      </c>
      <c r="P223" s="299">
        <f t="shared" si="32"/>
        <v>0</v>
      </c>
      <c r="Q223" s="300">
        <f t="shared" si="37"/>
        <v>0</v>
      </c>
      <c r="R223" s="300">
        <f t="shared" si="38"/>
        <v>0</v>
      </c>
      <c r="S223" s="295">
        <f t="shared" si="33"/>
        <v>0</v>
      </c>
      <c r="T223" s="298">
        <f>IFERROR(ROUND(IF(AND('Расчет участников НИР'!$A223='Состав ВТК'!$B216,'Расчет участников НИР'!$T$10='Состав ВТК'!$I216),$E223,0),2),"-")</f>
        <v>0</v>
      </c>
      <c r="U223" s="298">
        <f>IFERROR(ROUND(IF(AND('Расчет участников НИР'!$A223='Состав ВТК'!$B216,'Расчет участников НИР'!$U$10='Состав ВТК'!$I216),$E223,0),2),"-")</f>
        <v>0</v>
      </c>
      <c r="V223" s="298">
        <f>IFERROR(ROUND(IF(AND('Расчет участников НИР'!$A223='Состав ВТК'!$B216,'Расчет участников НИР'!$V$10='Состав ВТК'!$I216),$E223,0),2),"-")</f>
        <v>0</v>
      </c>
      <c r="W223" s="301" t="str">
        <f t="shared" si="34"/>
        <v>-</v>
      </c>
      <c r="X223" s="301" t="str">
        <f t="shared" si="35"/>
        <v>-</v>
      </c>
      <c r="Y223" s="301" t="str">
        <f t="shared" si="36"/>
        <v>-</v>
      </c>
    </row>
    <row r="224" spans="1:25" x14ac:dyDescent="0.25">
      <c r="A224" s="217">
        <f>'Состав ВТК'!B217</f>
        <v>0</v>
      </c>
      <c r="B224" s="290">
        <f>IFERROR(VLOOKUP($A224,Распределение!$B$13:$L$113,11,FALSE),"-")</f>
        <v>0</v>
      </c>
      <c r="C224" s="291" t="str">
        <f>IFERROR(IF(VLOOKUP($B224,Расценка!$H$3:$I$9,2,FALSE)="НС",Расценка!$T$11,Расценка!$T$12),"-")</f>
        <v>-</v>
      </c>
      <c r="D224" s="291">
        <f>IFERROR(INDEX(Распределение!$1:$1048576,MATCH($A224,Распределение!$B:$B,0),MATCH($D$8,Распределение!$9:$9,0)),"---")</f>
        <v>0</v>
      </c>
      <c r="E224" s="292">
        <f>IFERROR(SUMIFS('Трудозатраты членов ВТК'!$G$17:$G$117,'Трудозатраты членов ВТК'!$D$17:$D$117,A:A),"-")</f>
        <v>0</v>
      </c>
      <c r="F224" s="293">
        <f>IFERROR(SUMIFS('Трудозатраты членов ВТК'!$F$464:$F$713,'Трудозатраты членов ВТК'!$D$464:$D$713,A:A),"-")</f>
        <v>0</v>
      </c>
      <c r="G224" s="302"/>
      <c r="H224" s="295">
        <f t="shared" si="30"/>
        <v>0</v>
      </c>
      <c r="I224" s="296">
        <f>IFERROR(ROUND(IF('Состав ВТК'!$K217=справочник!$A$5,IF(AND('Расчет участников НИР'!$A224='Состав ВТК'!$B217,$I$10='Состав ВТК'!$I217),$F224*$D224*VLOOKUP('Расчет участников НИР'!$B224,Расценка!$C$3:$E$13,3,FALSE),0),0),2),"-")</f>
        <v>0</v>
      </c>
      <c r="J224" s="296">
        <f>IFERROR(ROUND(IF('Состав ВТК'!$K217=справочник!$A$5,IF(AND('Расчет участников НИР'!$A224='Состав ВТК'!$B217,$J$10='Состав ВТК'!$I217),$F224*$D224*VLOOKUP('Расчет участников НИР'!$B224,Расценка!$C$3:$E$13,3,FALSE),0),0),2),"-")</f>
        <v>0</v>
      </c>
      <c r="K224" s="296">
        <f>IFERROR(ROUND(IF('Состав ВТК'!$K217=справочник!$A$5,IF(AND('Расчет участников НИР'!$A224='Состав ВТК'!$B217,$K$10='Состав ВТК'!$I217),$F224*$D224*VLOOKUP('Расчет участников НИР'!$B224,Расценка!$C$3:$E$13,3,FALSE),0),0),2),"-")</f>
        <v>0</v>
      </c>
      <c r="L224" s="297"/>
      <c r="M224" s="295">
        <f t="shared" si="31"/>
        <v>0</v>
      </c>
      <c r="N224" s="298">
        <f>IFERROR(ROUND(IF('Состав ВТК'!$K217=справочник!$A$5,(IF(AND($A224='Состав ВТК'!$B217,$N$10=$C224),$F224*$D224*VLOOKUP($B224,Расценка!$H$3:$K$9,4,FALSE),0)),0),2),"-")</f>
        <v>0</v>
      </c>
      <c r="O224" s="298">
        <f>IFERROR(ROUND(IF('Состав ВТК'!$K217=справочник!$A$5,(IF(AND($A224='Состав ВТК'!$B217,$O$10=$C224),$F224*$D224*VLOOKUP($B224,Расценка!$H$3:$K$9,4,FALSE),0)),0),2),"-")</f>
        <v>0</v>
      </c>
      <c r="P224" s="299">
        <f t="shared" si="32"/>
        <v>0</v>
      </c>
      <c r="Q224" s="300">
        <f t="shared" si="37"/>
        <v>0</v>
      </c>
      <c r="R224" s="300">
        <f t="shared" si="38"/>
        <v>0</v>
      </c>
      <c r="S224" s="295">
        <f t="shared" si="33"/>
        <v>0</v>
      </c>
      <c r="T224" s="298">
        <f>IFERROR(ROUND(IF(AND('Расчет участников НИР'!$A224='Состав ВТК'!$B217,'Расчет участников НИР'!$T$10='Состав ВТК'!$I217),$E224,0),2),"-")</f>
        <v>0</v>
      </c>
      <c r="U224" s="298">
        <f>IFERROR(ROUND(IF(AND('Расчет участников НИР'!$A224='Состав ВТК'!$B217,'Расчет участников НИР'!$U$10='Состав ВТК'!$I217),$E224,0),2),"-")</f>
        <v>0</v>
      </c>
      <c r="V224" s="298">
        <f>IFERROR(ROUND(IF(AND('Расчет участников НИР'!$A224='Состав ВТК'!$B217,'Расчет участников НИР'!$V$10='Состав ВТК'!$I217),$E224,0),2),"-")</f>
        <v>0</v>
      </c>
      <c r="W224" s="301" t="str">
        <f t="shared" si="34"/>
        <v>-</v>
      </c>
      <c r="X224" s="301" t="str">
        <f t="shared" si="35"/>
        <v>-</v>
      </c>
      <c r="Y224" s="301" t="str">
        <f t="shared" si="36"/>
        <v>-</v>
      </c>
    </row>
    <row r="225" spans="1:25" x14ac:dyDescent="0.25">
      <c r="A225" s="217">
        <f>'Состав ВТК'!B218</f>
        <v>0</v>
      </c>
      <c r="B225" s="290">
        <f>IFERROR(VLOOKUP($A225,Распределение!$B$13:$L$113,11,FALSE),"-")</f>
        <v>0</v>
      </c>
      <c r="C225" s="291" t="str">
        <f>IFERROR(IF(VLOOKUP($B225,Расценка!$H$3:$I$9,2,FALSE)="НС",Расценка!$T$11,Расценка!$T$12),"-")</f>
        <v>-</v>
      </c>
      <c r="D225" s="291">
        <f>IFERROR(INDEX(Распределение!$1:$1048576,MATCH($A225,Распределение!$B:$B,0),MATCH($D$8,Распределение!$9:$9,0)),"---")</f>
        <v>0</v>
      </c>
      <c r="E225" s="292">
        <f>IFERROR(SUMIFS('Трудозатраты членов ВТК'!$G$17:$G$117,'Трудозатраты членов ВТК'!$D$17:$D$117,A:A),"-")</f>
        <v>0</v>
      </c>
      <c r="F225" s="293">
        <f>IFERROR(SUMIFS('Трудозатраты членов ВТК'!$F$464:$F$713,'Трудозатраты членов ВТК'!$D$464:$D$713,A:A),"-")</f>
        <v>0</v>
      </c>
      <c r="G225" s="302"/>
      <c r="H225" s="295">
        <f t="shared" si="30"/>
        <v>0</v>
      </c>
      <c r="I225" s="296">
        <f>IFERROR(ROUND(IF('Состав ВТК'!$K218=справочник!$A$5,IF(AND('Расчет участников НИР'!$A225='Состав ВТК'!$B218,$I$10='Состав ВТК'!$I218),$F225*$D225*VLOOKUP('Расчет участников НИР'!$B225,Расценка!$C$3:$E$13,3,FALSE),0),0),2),"-")</f>
        <v>0</v>
      </c>
      <c r="J225" s="296">
        <f>IFERROR(ROUND(IF('Состав ВТК'!$K218=справочник!$A$5,IF(AND('Расчет участников НИР'!$A225='Состав ВТК'!$B218,$J$10='Состав ВТК'!$I218),$F225*$D225*VLOOKUP('Расчет участников НИР'!$B225,Расценка!$C$3:$E$13,3,FALSE),0),0),2),"-")</f>
        <v>0</v>
      </c>
      <c r="K225" s="296">
        <f>IFERROR(ROUND(IF('Состав ВТК'!$K218=справочник!$A$5,IF(AND('Расчет участников НИР'!$A225='Состав ВТК'!$B218,$K$10='Состав ВТК'!$I218),$F225*$D225*VLOOKUP('Расчет участников НИР'!$B225,Расценка!$C$3:$E$13,3,FALSE),0),0),2),"-")</f>
        <v>0</v>
      </c>
      <c r="L225" s="297"/>
      <c r="M225" s="295">
        <f t="shared" si="31"/>
        <v>0</v>
      </c>
      <c r="N225" s="298">
        <f>IFERROR(ROUND(IF('Состав ВТК'!$K218=справочник!$A$5,(IF(AND($A225='Состав ВТК'!$B218,$N$10=$C225),$F225*$D225*VLOOKUP($B225,Расценка!$H$3:$K$9,4,FALSE),0)),0),2),"-")</f>
        <v>0</v>
      </c>
      <c r="O225" s="298">
        <f>IFERROR(ROUND(IF('Состав ВТК'!$K218=справочник!$A$5,(IF(AND($A225='Состав ВТК'!$B218,$O$10=$C225),$F225*$D225*VLOOKUP($B225,Расценка!$H$3:$K$9,4,FALSE),0)),0),2),"-")</f>
        <v>0</v>
      </c>
      <c r="P225" s="299">
        <f t="shared" si="32"/>
        <v>0</v>
      </c>
      <c r="Q225" s="300">
        <f t="shared" si="37"/>
        <v>0</v>
      </c>
      <c r="R225" s="300">
        <f t="shared" si="38"/>
        <v>0</v>
      </c>
      <c r="S225" s="295">
        <f t="shared" si="33"/>
        <v>0</v>
      </c>
      <c r="T225" s="298">
        <f>IFERROR(ROUND(IF(AND('Расчет участников НИР'!$A225='Состав ВТК'!$B218,'Расчет участников НИР'!$T$10='Состав ВТК'!$I218),$E225,0),2),"-")</f>
        <v>0</v>
      </c>
      <c r="U225" s="298">
        <f>IFERROR(ROUND(IF(AND('Расчет участников НИР'!$A225='Состав ВТК'!$B218,'Расчет участников НИР'!$U$10='Состав ВТК'!$I218),$E225,0),2),"-")</f>
        <v>0</v>
      </c>
      <c r="V225" s="298">
        <f>IFERROR(ROUND(IF(AND('Расчет участников НИР'!$A225='Состав ВТК'!$B218,'Расчет участников НИР'!$V$10='Состав ВТК'!$I218),$E225,0),2),"-")</f>
        <v>0</v>
      </c>
      <c r="W225" s="301" t="str">
        <f t="shared" si="34"/>
        <v>-</v>
      </c>
      <c r="X225" s="301" t="str">
        <f t="shared" si="35"/>
        <v>-</v>
      </c>
      <c r="Y225" s="301" t="str">
        <f t="shared" si="36"/>
        <v>-</v>
      </c>
    </row>
    <row r="226" spans="1:25" x14ac:dyDescent="0.25">
      <c r="A226" s="217">
        <f>'Состав ВТК'!B219</f>
        <v>0</v>
      </c>
      <c r="B226" s="290">
        <f>IFERROR(VLOOKUP($A226,Распределение!$B$13:$L$113,11,FALSE),"-")</f>
        <v>0</v>
      </c>
      <c r="C226" s="291" t="str">
        <f>IFERROR(IF(VLOOKUP($B226,Расценка!$H$3:$I$9,2,FALSE)="НС",Расценка!$T$11,Расценка!$T$12),"-")</f>
        <v>-</v>
      </c>
      <c r="D226" s="291">
        <f>IFERROR(INDEX(Распределение!$1:$1048576,MATCH($A226,Распределение!$B:$B,0),MATCH($D$8,Распределение!$9:$9,0)),"---")</f>
        <v>0</v>
      </c>
      <c r="E226" s="292">
        <f>IFERROR(SUMIFS('Трудозатраты членов ВТК'!$G$17:$G$117,'Трудозатраты членов ВТК'!$D$17:$D$117,A:A),"-")</f>
        <v>0</v>
      </c>
      <c r="F226" s="293">
        <f>IFERROR(SUMIFS('Трудозатраты членов ВТК'!$F$464:$F$713,'Трудозатраты членов ВТК'!$D$464:$D$713,A:A),"-")</f>
        <v>0</v>
      </c>
      <c r="G226" s="302"/>
      <c r="H226" s="295">
        <f t="shared" si="30"/>
        <v>0</v>
      </c>
      <c r="I226" s="296">
        <f>IFERROR(ROUND(IF('Состав ВТК'!$K219=справочник!$A$5,IF(AND('Расчет участников НИР'!$A226='Состав ВТК'!$B219,$I$10='Состав ВТК'!$I219),$F226*$D226*VLOOKUP('Расчет участников НИР'!$B226,Расценка!$C$3:$E$13,3,FALSE),0),0),2),"-")</f>
        <v>0</v>
      </c>
      <c r="J226" s="296">
        <f>IFERROR(ROUND(IF('Состав ВТК'!$K219=справочник!$A$5,IF(AND('Расчет участников НИР'!$A226='Состав ВТК'!$B219,$J$10='Состав ВТК'!$I219),$F226*$D226*VLOOKUP('Расчет участников НИР'!$B226,Расценка!$C$3:$E$13,3,FALSE),0),0),2),"-")</f>
        <v>0</v>
      </c>
      <c r="K226" s="296">
        <f>IFERROR(ROUND(IF('Состав ВТК'!$K219=справочник!$A$5,IF(AND('Расчет участников НИР'!$A226='Состав ВТК'!$B219,$K$10='Состав ВТК'!$I219),$F226*$D226*VLOOKUP('Расчет участников НИР'!$B226,Расценка!$C$3:$E$13,3,FALSE),0),0),2),"-")</f>
        <v>0</v>
      </c>
      <c r="L226" s="297"/>
      <c r="M226" s="295">
        <f t="shared" si="31"/>
        <v>0</v>
      </c>
      <c r="N226" s="298">
        <f>IFERROR(ROUND(IF('Состав ВТК'!$K219=справочник!$A$5,(IF(AND($A226='Состав ВТК'!$B219,$N$10=$C226),$F226*$D226*VLOOKUP($B226,Расценка!$H$3:$K$9,4,FALSE),0)),0),2),"-")</f>
        <v>0</v>
      </c>
      <c r="O226" s="298">
        <f>IFERROR(ROUND(IF('Состав ВТК'!$K219=справочник!$A$5,(IF(AND($A226='Состав ВТК'!$B219,$O$10=$C226),$F226*$D226*VLOOKUP($B226,Расценка!$H$3:$K$9,4,FALSE),0)),0),2),"-")</f>
        <v>0</v>
      </c>
      <c r="P226" s="299">
        <f t="shared" si="32"/>
        <v>0</v>
      </c>
      <c r="Q226" s="300">
        <f t="shared" si="37"/>
        <v>0</v>
      </c>
      <c r="R226" s="300">
        <f t="shared" si="38"/>
        <v>0</v>
      </c>
      <c r="S226" s="295">
        <f t="shared" si="33"/>
        <v>0</v>
      </c>
      <c r="T226" s="298">
        <f>IFERROR(ROUND(IF(AND('Расчет участников НИР'!$A226='Состав ВТК'!$B219,'Расчет участников НИР'!$T$10='Состав ВТК'!$I219),$E226,0),2),"-")</f>
        <v>0</v>
      </c>
      <c r="U226" s="298">
        <f>IFERROR(ROUND(IF(AND('Расчет участников НИР'!$A226='Состав ВТК'!$B219,'Расчет участников НИР'!$U$10='Состав ВТК'!$I219),$E226,0),2),"-")</f>
        <v>0</v>
      </c>
      <c r="V226" s="298">
        <f>IFERROR(ROUND(IF(AND('Расчет участников НИР'!$A226='Состав ВТК'!$B219,'Расчет участников НИР'!$V$10='Состав ВТК'!$I219),$E226,0),2),"-")</f>
        <v>0</v>
      </c>
      <c r="W226" s="301" t="str">
        <f t="shared" si="34"/>
        <v>-</v>
      </c>
      <c r="X226" s="301" t="str">
        <f t="shared" si="35"/>
        <v>-</v>
      </c>
      <c r="Y226" s="301" t="str">
        <f t="shared" si="36"/>
        <v>-</v>
      </c>
    </row>
    <row r="227" spans="1:25" x14ac:dyDescent="0.25">
      <c r="A227" s="217">
        <f>'Состав ВТК'!B220</f>
        <v>0</v>
      </c>
      <c r="B227" s="290">
        <f>IFERROR(VLOOKUP($A227,Распределение!$B$13:$L$113,11,FALSE),"-")</f>
        <v>0</v>
      </c>
      <c r="C227" s="291" t="str">
        <f>IFERROR(IF(VLOOKUP($B227,Расценка!$H$3:$I$9,2,FALSE)="НС",Расценка!$T$11,Расценка!$T$12),"-")</f>
        <v>-</v>
      </c>
      <c r="D227" s="291">
        <f>IFERROR(INDEX(Распределение!$1:$1048576,MATCH($A227,Распределение!$B:$B,0),MATCH($D$8,Распределение!$9:$9,0)),"---")</f>
        <v>0</v>
      </c>
      <c r="E227" s="292">
        <f>IFERROR(SUMIFS('Трудозатраты членов ВТК'!$G$17:$G$117,'Трудозатраты членов ВТК'!$D$17:$D$117,A:A),"-")</f>
        <v>0</v>
      </c>
      <c r="F227" s="293">
        <f>IFERROR(SUMIFS('Трудозатраты членов ВТК'!$F$464:$F$713,'Трудозатраты членов ВТК'!$D$464:$D$713,A:A),"-")</f>
        <v>0</v>
      </c>
      <c r="G227" s="302"/>
      <c r="H227" s="295">
        <f t="shared" si="30"/>
        <v>0</v>
      </c>
      <c r="I227" s="296">
        <f>IFERROR(ROUND(IF('Состав ВТК'!$K220=справочник!$A$5,IF(AND('Расчет участников НИР'!$A227='Состав ВТК'!$B220,$I$10='Состав ВТК'!$I220),$F227*$D227*VLOOKUP('Расчет участников НИР'!$B227,Расценка!$C$3:$E$13,3,FALSE),0),0),2),"-")</f>
        <v>0</v>
      </c>
      <c r="J227" s="296">
        <f>IFERROR(ROUND(IF('Состав ВТК'!$K220=справочник!$A$5,IF(AND('Расчет участников НИР'!$A227='Состав ВТК'!$B220,$J$10='Состав ВТК'!$I220),$F227*$D227*VLOOKUP('Расчет участников НИР'!$B227,Расценка!$C$3:$E$13,3,FALSE),0),0),2),"-")</f>
        <v>0</v>
      </c>
      <c r="K227" s="296">
        <f>IFERROR(ROUND(IF('Состав ВТК'!$K220=справочник!$A$5,IF(AND('Расчет участников НИР'!$A227='Состав ВТК'!$B220,$K$10='Состав ВТК'!$I220),$F227*$D227*VLOOKUP('Расчет участников НИР'!$B227,Расценка!$C$3:$E$13,3,FALSE),0),0),2),"-")</f>
        <v>0</v>
      </c>
      <c r="L227" s="297"/>
      <c r="M227" s="295">
        <f t="shared" si="31"/>
        <v>0</v>
      </c>
      <c r="N227" s="298">
        <f>IFERROR(ROUND(IF('Состав ВТК'!$K220=справочник!$A$5,(IF(AND($A227='Состав ВТК'!$B220,$N$10=$C227),$F227*$D227*VLOOKUP($B227,Расценка!$H$3:$K$9,4,FALSE),0)),0),2),"-")</f>
        <v>0</v>
      </c>
      <c r="O227" s="298">
        <f>IFERROR(ROUND(IF('Состав ВТК'!$K220=справочник!$A$5,(IF(AND($A227='Состав ВТК'!$B220,$O$10=$C227),$F227*$D227*VLOOKUP($B227,Расценка!$H$3:$K$9,4,FALSE),0)),0),2),"-")</f>
        <v>0</v>
      </c>
      <c r="P227" s="299">
        <f t="shared" si="32"/>
        <v>0</v>
      </c>
      <c r="Q227" s="300">
        <f t="shared" si="37"/>
        <v>0</v>
      </c>
      <c r="R227" s="300">
        <f t="shared" si="38"/>
        <v>0</v>
      </c>
      <c r="S227" s="295">
        <f t="shared" si="33"/>
        <v>0</v>
      </c>
      <c r="T227" s="298">
        <f>IFERROR(ROUND(IF(AND('Расчет участников НИР'!$A227='Состав ВТК'!$B220,'Расчет участников НИР'!$T$10='Состав ВТК'!$I220),$E227,0),2),"-")</f>
        <v>0</v>
      </c>
      <c r="U227" s="298">
        <f>IFERROR(ROUND(IF(AND('Расчет участников НИР'!$A227='Состав ВТК'!$B220,'Расчет участников НИР'!$U$10='Состав ВТК'!$I220),$E227,0),2),"-")</f>
        <v>0</v>
      </c>
      <c r="V227" s="298">
        <f>IFERROR(ROUND(IF(AND('Расчет участников НИР'!$A227='Состав ВТК'!$B220,'Расчет участников НИР'!$V$10='Состав ВТК'!$I220),$E227,0),2),"-")</f>
        <v>0</v>
      </c>
      <c r="W227" s="301" t="str">
        <f t="shared" si="34"/>
        <v>-</v>
      </c>
      <c r="X227" s="301" t="str">
        <f t="shared" si="35"/>
        <v>-</v>
      </c>
      <c r="Y227" s="301" t="str">
        <f t="shared" si="36"/>
        <v>-</v>
      </c>
    </row>
    <row r="228" spans="1:25" x14ac:dyDescent="0.25">
      <c r="A228" s="217">
        <f>'Состав ВТК'!B221</f>
        <v>0</v>
      </c>
      <c r="B228" s="290">
        <f>IFERROR(VLOOKUP($A228,Распределение!$B$13:$L$113,11,FALSE),"-")</f>
        <v>0</v>
      </c>
      <c r="C228" s="291" t="str">
        <f>IFERROR(IF(VLOOKUP($B228,Расценка!$H$3:$I$9,2,FALSE)="НС",Расценка!$T$11,Расценка!$T$12),"-")</f>
        <v>-</v>
      </c>
      <c r="D228" s="291">
        <f>IFERROR(INDEX(Распределение!$1:$1048576,MATCH($A228,Распределение!$B:$B,0),MATCH($D$8,Распределение!$9:$9,0)),"---")</f>
        <v>0</v>
      </c>
      <c r="E228" s="292">
        <f>IFERROR(SUMIFS('Трудозатраты членов ВТК'!$G$17:$G$117,'Трудозатраты членов ВТК'!$D$17:$D$117,A:A),"-")</f>
        <v>0</v>
      </c>
      <c r="F228" s="293">
        <f>IFERROR(SUMIFS('Трудозатраты членов ВТК'!$F$464:$F$713,'Трудозатраты членов ВТК'!$D$464:$D$713,A:A),"-")</f>
        <v>0</v>
      </c>
      <c r="G228" s="302"/>
      <c r="H228" s="295">
        <f t="shared" si="30"/>
        <v>0</v>
      </c>
      <c r="I228" s="296">
        <f>IFERROR(ROUND(IF('Состав ВТК'!$K221=справочник!$A$5,IF(AND('Расчет участников НИР'!$A228='Состав ВТК'!$B221,$I$10='Состав ВТК'!$I221),$F228*$D228*VLOOKUP('Расчет участников НИР'!$B228,Расценка!$C$3:$E$13,3,FALSE),0),0),2),"-")</f>
        <v>0</v>
      </c>
      <c r="J228" s="296">
        <f>IFERROR(ROUND(IF('Состав ВТК'!$K221=справочник!$A$5,IF(AND('Расчет участников НИР'!$A228='Состав ВТК'!$B221,$J$10='Состав ВТК'!$I221),$F228*$D228*VLOOKUP('Расчет участников НИР'!$B228,Расценка!$C$3:$E$13,3,FALSE),0),0),2),"-")</f>
        <v>0</v>
      </c>
      <c r="K228" s="296">
        <f>IFERROR(ROUND(IF('Состав ВТК'!$K221=справочник!$A$5,IF(AND('Расчет участников НИР'!$A228='Состав ВТК'!$B221,$K$10='Состав ВТК'!$I221),$F228*$D228*VLOOKUP('Расчет участников НИР'!$B228,Расценка!$C$3:$E$13,3,FALSE),0),0),2),"-")</f>
        <v>0</v>
      </c>
      <c r="L228" s="297"/>
      <c r="M228" s="295">
        <f t="shared" si="31"/>
        <v>0</v>
      </c>
      <c r="N228" s="298">
        <f>IFERROR(ROUND(IF('Состав ВТК'!$K221=справочник!$A$5,(IF(AND($A228='Состав ВТК'!$B221,$N$10=$C228),$F228*$D228*VLOOKUP($B228,Расценка!$H$3:$K$9,4,FALSE),0)),0),2),"-")</f>
        <v>0</v>
      </c>
      <c r="O228" s="298">
        <f>IFERROR(ROUND(IF('Состав ВТК'!$K221=справочник!$A$5,(IF(AND($A228='Состав ВТК'!$B221,$O$10=$C228),$F228*$D228*VLOOKUP($B228,Расценка!$H$3:$K$9,4,FALSE),0)),0),2),"-")</f>
        <v>0</v>
      </c>
      <c r="P228" s="299">
        <f t="shared" si="32"/>
        <v>0</v>
      </c>
      <c r="Q228" s="300">
        <f t="shared" si="37"/>
        <v>0</v>
      </c>
      <c r="R228" s="300">
        <f t="shared" si="38"/>
        <v>0</v>
      </c>
      <c r="S228" s="295">
        <f t="shared" si="33"/>
        <v>0</v>
      </c>
      <c r="T228" s="298">
        <f>IFERROR(ROUND(IF(AND('Расчет участников НИР'!$A228='Состав ВТК'!$B221,'Расчет участников НИР'!$T$10='Состав ВТК'!$I221),$E228,0),2),"-")</f>
        <v>0</v>
      </c>
      <c r="U228" s="298">
        <f>IFERROR(ROUND(IF(AND('Расчет участников НИР'!$A228='Состав ВТК'!$B221,'Расчет участников НИР'!$U$10='Состав ВТК'!$I221),$E228,0),2),"-")</f>
        <v>0</v>
      </c>
      <c r="V228" s="298">
        <f>IFERROR(ROUND(IF(AND('Расчет участников НИР'!$A228='Состав ВТК'!$B221,'Расчет участников НИР'!$V$10='Состав ВТК'!$I221),$E228,0),2),"-")</f>
        <v>0</v>
      </c>
      <c r="W228" s="301" t="str">
        <f t="shared" si="34"/>
        <v>-</v>
      </c>
      <c r="X228" s="301" t="str">
        <f t="shared" si="35"/>
        <v>-</v>
      </c>
      <c r="Y228" s="301" t="str">
        <f t="shared" si="36"/>
        <v>-</v>
      </c>
    </row>
    <row r="229" spans="1:25" x14ac:dyDescent="0.25">
      <c r="A229" s="217">
        <f>'Состав ВТК'!B222</f>
        <v>0</v>
      </c>
      <c r="B229" s="290">
        <f>IFERROR(VLOOKUP($A229,Распределение!$B$13:$L$113,11,FALSE),"-")</f>
        <v>0</v>
      </c>
      <c r="C229" s="291" t="str">
        <f>IFERROR(IF(VLOOKUP($B229,Расценка!$H$3:$I$9,2,FALSE)="НС",Расценка!$T$11,Расценка!$T$12),"-")</f>
        <v>-</v>
      </c>
      <c r="D229" s="291">
        <f>IFERROR(INDEX(Распределение!$1:$1048576,MATCH($A229,Распределение!$B:$B,0),MATCH($D$8,Распределение!$9:$9,0)),"---")</f>
        <v>0</v>
      </c>
      <c r="E229" s="292">
        <f>IFERROR(SUMIFS('Трудозатраты членов ВТК'!$G$17:$G$117,'Трудозатраты членов ВТК'!$D$17:$D$117,A:A),"-")</f>
        <v>0</v>
      </c>
      <c r="F229" s="293">
        <f>IFERROR(SUMIFS('Трудозатраты членов ВТК'!$F$464:$F$713,'Трудозатраты членов ВТК'!$D$464:$D$713,A:A),"-")</f>
        <v>0</v>
      </c>
      <c r="G229" s="302"/>
      <c r="H229" s="295">
        <f t="shared" si="30"/>
        <v>0</v>
      </c>
      <c r="I229" s="296">
        <f>IFERROR(ROUND(IF('Состав ВТК'!$K222=справочник!$A$5,IF(AND('Расчет участников НИР'!$A229='Состав ВТК'!$B222,$I$10='Состав ВТК'!$I222),$F229*$D229*VLOOKUP('Расчет участников НИР'!$B229,Расценка!$C$3:$E$13,3,FALSE),0),0),2),"-")</f>
        <v>0</v>
      </c>
      <c r="J229" s="296">
        <f>IFERROR(ROUND(IF('Состав ВТК'!$K222=справочник!$A$5,IF(AND('Расчет участников НИР'!$A229='Состав ВТК'!$B222,$J$10='Состав ВТК'!$I222),$F229*$D229*VLOOKUP('Расчет участников НИР'!$B229,Расценка!$C$3:$E$13,3,FALSE),0),0),2),"-")</f>
        <v>0</v>
      </c>
      <c r="K229" s="296">
        <f>IFERROR(ROUND(IF('Состав ВТК'!$K222=справочник!$A$5,IF(AND('Расчет участников НИР'!$A229='Состав ВТК'!$B222,$K$10='Состав ВТК'!$I222),$F229*$D229*VLOOKUP('Расчет участников НИР'!$B229,Расценка!$C$3:$E$13,3,FALSE),0),0),2),"-")</f>
        <v>0</v>
      </c>
      <c r="L229" s="297"/>
      <c r="M229" s="295">
        <f t="shared" si="31"/>
        <v>0</v>
      </c>
      <c r="N229" s="298">
        <f>IFERROR(ROUND(IF('Состав ВТК'!$K222=справочник!$A$5,(IF(AND($A229='Состав ВТК'!$B222,$N$10=$C229),$F229*$D229*VLOOKUP($B229,Расценка!$H$3:$K$9,4,FALSE),0)),0),2),"-")</f>
        <v>0</v>
      </c>
      <c r="O229" s="298">
        <f>IFERROR(ROUND(IF('Состав ВТК'!$K222=справочник!$A$5,(IF(AND($A229='Состав ВТК'!$B222,$O$10=$C229),$F229*$D229*VLOOKUP($B229,Расценка!$H$3:$K$9,4,FALSE),0)),0),2),"-")</f>
        <v>0</v>
      </c>
      <c r="P229" s="299">
        <f t="shared" si="32"/>
        <v>0</v>
      </c>
      <c r="Q229" s="300">
        <f t="shared" si="37"/>
        <v>0</v>
      </c>
      <c r="R229" s="300">
        <f t="shared" si="38"/>
        <v>0</v>
      </c>
      <c r="S229" s="295">
        <f t="shared" si="33"/>
        <v>0</v>
      </c>
      <c r="T229" s="298">
        <f>IFERROR(ROUND(IF(AND('Расчет участников НИР'!$A229='Состав ВТК'!$B222,'Расчет участников НИР'!$T$10='Состав ВТК'!$I222),$E229,0),2),"-")</f>
        <v>0</v>
      </c>
      <c r="U229" s="298">
        <f>IFERROR(ROUND(IF(AND('Расчет участников НИР'!$A229='Состав ВТК'!$B222,'Расчет участников НИР'!$U$10='Состав ВТК'!$I222),$E229,0),2),"-")</f>
        <v>0</v>
      </c>
      <c r="V229" s="298">
        <f>IFERROR(ROUND(IF(AND('Расчет участников НИР'!$A229='Состав ВТК'!$B222,'Расчет участников НИР'!$V$10='Состав ВТК'!$I222),$E229,0),2),"-")</f>
        <v>0</v>
      </c>
      <c r="W229" s="301" t="str">
        <f t="shared" si="34"/>
        <v>-</v>
      </c>
      <c r="X229" s="301" t="str">
        <f t="shared" si="35"/>
        <v>-</v>
      </c>
      <c r="Y229" s="301" t="str">
        <f t="shared" si="36"/>
        <v>-</v>
      </c>
    </row>
    <row r="230" spans="1:25" x14ac:dyDescent="0.25">
      <c r="A230" s="217">
        <f>'Состав ВТК'!B223</f>
        <v>0</v>
      </c>
      <c r="B230" s="290">
        <f>IFERROR(VLOOKUP($A230,Распределение!$B$13:$L$113,11,FALSE),"-")</f>
        <v>0</v>
      </c>
      <c r="C230" s="291" t="str">
        <f>IFERROR(IF(VLOOKUP($B230,Расценка!$H$3:$I$9,2,FALSE)="НС",Расценка!$T$11,Расценка!$T$12),"-")</f>
        <v>-</v>
      </c>
      <c r="D230" s="291">
        <f>IFERROR(INDEX(Распределение!$1:$1048576,MATCH($A230,Распределение!$B:$B,0),MATCH($D$8,Распределение!$9:$9,0)),"---")</f>
        <v>0</v>
      </c>
      <c r="E230" s="292">
        <f>IFERROR(SUMIFS('Трудозатраты членов ВТК'!$G$17:$G$117,'Трудозатраты членов ВТК'!$D$17:$D$117,A:A),"-")</f>
        <v>0</v>
      </c>
      <c r="F230" s="293">
        <f>IFERROR(SUMIFS('Трудозатраты членов ВТК'!$F$464:$F$713,'Трудозатраты членов ВТК'!$D$464:$D$713,A:A),"-")</f>
        <v>0</v>
      </c>
      <c r="G230" s="302"/>
      <c r="H230" s="295">
        <f t="shared" si="30"/>
        <v>0</v>
      </c>
      <c r="I230" s="296">
        <f>IFERROR(ROUND(IF('Состав ВТК'!$K223=справочник!$A$5,IF(AND('Расчет участников НИР'!$A230='Состав ВТК'!$B223,$I$10='Состав ВТК'!$I223),$F230*$D230*VLOOKUP('Расчет участников НИР'!$B230,Расценка!$C$3:$E$13,3,FALSE),0),0),2),"-")</f>
        <v>0</v>
      </c>
      <c r="J230" s="296">
        <f>IFERROR(ROUND(IF('Состав ВТК'!$K223=справочник!$A$5,IF(AND('Расчет участников НИР'!$A230='Состав ВТК'!$B223,$J$10='Состав ВТК'!$I223),$F230*$D230*VLOOKUP('Расчет участников НИР'!$B230,Расценка!$C$3:$E$13,3,FALSE),0),0),2),"-")</f>
        <v>0</v>
      </c>
      <c r="K230" s="296">
        <f>IFERROR(ROUND(IF('Состав ВТК'!$K223=справочник!$A$5,IF(AND('Расчет участников НИР'!$A230='Состав ВТК'!$B223,$K$10='Состав ВТК'!$I223),$F230*$D230*VLOOKUP('Расчет участников НИР'!$B230,Расценка!$C$3:$E$13,3,FALSE),0),0),2),"-")</f>
        <v>0</v>
      </c>
      <c r="L230" s="297"/>
      <c r="M230" s="295">
        <f t="shared" si="31"/>
        <v>0</v>
      </c>
      <c r="N230" s="298">
        <f>IFERROR(ROUND(IF('Состав ВТК'!$K223=справочник!$A$5,(IF(AND($A230='Состав ВТК'!$B223,$N$10=$C230),$F230*$D230*VLOOKUP($B230,Расценка!$H$3:$K$9,4,FALSE),0)),0),2),"-")</f>
        <v>0</v>
      </c>
      <c r="O230" s="298">
        <f>IFERROR(ROUND(IF('Состав ВТК'!$K223=справочник!$A$5,(IF(AND($A230='Состав ВТК'!$B223,$O$10=$C230),$F230*$D230*VLOOKUP($B230,Расценка!$H$3:$K$9,4,FALSE),0)),0),2),"-")</f>
        <v>0</v>
      </c>
      <c r="P230" s="299">
        <f t="shared" si="32"/>
        <v>0</v>
      </c>
      <c r="Q230" s="300">
        <f t="shared" si="37"/>
        <v>0</v>
      </c>
      <c r="R230" s="300">
        <f t="shared" si="38"/>
        <v>0</v>
      </c>
      <c r="S230" s="295">
        <f t="shared" si="33"/>
        <v>0</v>
      </c>
      <c r="T230" s="298">
        <f>IFERROR(ROUND(IF(AND('Расчет участников НИР'!$A230='Состав ВТК'!$B223,'Расчет участников НИР'!$T$10='Состав ВТК'!$I223),$E230,0),2),"-")</f>
        <v>0</v>
      </c>
      <c r="U230" s="298">
        <f>IFERROR(ROUND(IF(AND('Расчет участников НИР'!$A230='Состав ВТК'!$B223,'Расчет участников НИР'!$U$10='Состав ВТК'!$I223),$E230,0),2),"-")</f>
        <v>0</v>
      </c>
      <c r="V230" s="298">
        <f>IFERROR(ROUND(IF(AND('Расчет участников НИР'!$A230='Состав ВТК'!$B223,'Расчет участников НИР'!$V$10='Состав ВТК'!$I223),$E230,0),2),"-")</f>
        <v>0</v>
      </c>
      <c r="W230" s="301" t="str">
        <f t="shared" si="34"/>
        <v>-</v>
      </c>
      <c r="X230" s="301" t="str">
        <f t="shared" si="35"/>
        <v>-</v>
      </c>
      <c r="Y230" s="301" t="str">
        <f t="shared" si="36"/>
        <v>-</v>
      </c>
    </row>
    <row r="231" spans="1:25" x14ac:dyDescent="0.25">
      <c r="A231" s="217">
        <f>'Состав ВТК'!B224</f>
        <v>0</v>
      </c>
      <c r="B231" s="290">
        <f>IFERROR(VLOOKUP($A231,Распределение!$B$13:$L$113,11,FALSE),"-")</f>
        <v>0</v>
      </c>
      <c r="C231" s="291" t="str">
        <f>IFERROR(IF(VLOOKUP($B231,Расценка!$H$3:$I$9,2,FALSE)="НС",Расценка!$T$11,Расценка!$T$12),"-")</f>
        <v>-</v>
      </c>
      <c r="D231" s="291">
        <f>IFERROR(INDEX(Распределение!$1:$1048576,MATCH($A231,Распределение!$B:$B,0),MATCH($D$8,Распределение!$9:$9,0)),"---")</f>
        <v>0</v>
      </c>
      <c r="E231" s="292">
        <f>IFERROR(SUMIFS('Трудозатраты членов ВТК'!$G$17:$G$117,'Трудозатраты членов ВТК'!$D$17:$D$117,A:A),"-")</f>
        <v>0</v>
      </c>
      <c r="F231" s="293">
        <f>IFERROR(SUMIFS('Трудозатраты членов ВТК'!$F$464:$F$713,'Трудозатраты членов ВТК'!$D$464:$D$713,A:A),"-")</f>
        <v>0</v>
      </c>
      <c r="G231" s="302"/>
      <c r="H231" s="295">
        <f t="shared" si="30"/>
        <v>0</v>
      </c>
      <c r="I231" s="296">
        <f>IFERROR(ROUND(IF('Состав ВТК'!$K224=справочник!$A$5,IF(AND('Расчет участников НИР'!$A231='Состав ВТК'!$B224,$I$10='Состав ВТК'!$I224),$F231*$D231*VLOOKUP('Расчет участников НИР'!$B231,Расценка!$C$3:$E$13,3,FALSE),0),0),2),"-")</f>
        <v>0</v>
      </c>
      <c r="J231" s="296">
        <f>IFERROR(ROUND(IF('Состав ВТК'!$K224=справочник!$A$5,IF(AND('Расчет участников НИР'!$A231='Состав ВТК'!$B224,$J$10='Состав ВТК'!$I224),$F231*$D231*VLOOKUP('Расчет участников НИР'!$B231,Расценка!$C$3:$E$13,3,FALSE),0),0),2),"-")</f>
        <v>0</v>
      </c>
      <c r="K231" s="296">
        <f>IFERROR(ROUND(IF('Состав ВТК'!$K224=справочник!$A$5,IF(AND('Расчет участников НИР'!$A231='Состав ВТК'!$B224,$K$10='Состав ВТК'!$I224),$F231*$D231*VLOOKUP('Расчет участников НИР'!$B231,Расценка!$C$3:$E$13,3,FALSE),0),0),2),"-")</f>
        <v>0</v>
      </c>
      <c r="L231" s="297"/>
      <c r="M231" s="295">
        <f t="shared" si="31"/>
        <v>0</v>
      </c>
      <c r="N231" s="298">
        <f>IFERROR(ROUND(IF('Состав ВТК'!$K224=справочник!$A$5,(IF(AND($A231='Состав ВТК'!$B224,$N$10=$C231),$F231*$D231*VLOOKUP($B231,Расценка!$H$3:$K$9,4,FALSE),0)),0),2),"-")</f>
        <v>0</v>
      </c>
      <c r="O231" s="298">
        <f>IFERROR(ROUND(IF('Состав ВТК'!$K224=справочник!$A$5,(IF(AND($A231='Состав ВТК'!$B224,$O$10=$C231),$F231*$D231*VLOOKUP($B231,Расценка!$H$3:$K$9,4,FALSE),0)),0),2),"-")</f>
        <v>0</v>
      </c>
      <c r="P231" s="299">
        <f t="shared" si="32"/>
        <v>0</v>
      </c>
      <c r="Q231" s="300">
        <f t="shared" si="37"/>
        <v>0</v>
      </c>
      <c r="R231" s="300">
        <f t="shared" si="38"/>
        <v>0</v>
      </c>
      <c r="S231" s="295">
        <f t="shared" si="33"/>
        <v>0</v>
      </c>
      <c r="T231" s="298">
        <f>IFERROR(ROUND(IF(AND('Расчет участников НИР'!$A231='Состав ВТК'!$B224,'Расчет участников НИР'!$T$10='Состав ВТК'!$I224),$E231,0),2),"-")</f>
        <v>0</v>
      </c>
      <c r="U231" s="298">
        <f>IFERROR(ROUND(IF(AND('Расчет участников НИР'!$A231='Состав ВТК'!$B224,'Расчет участников НИР'!$U$10='Состав ВТК'!$I224),$E231,0),2),"-")</f>
        <v>0</v>
      </c>
      <c r="V231" s="298">
        <f>IFERROR(ROUND(IF(AND('Расчет участников НИР'!$A231='Состав ВТК'!$B224,'Расчет участников НИР'!$V$10='Состав ВТК'!$I224),$E231,0),2),"-")</f>
        <v>0</v>
      </c>
      <c r="W231" s="301" t="str">
        <f t="shared" si="34"/>
        <v>-</v>
      </c>
      <c r="X231" s="301" t="str">
        <f t="shared" si="35"/>
        <v>-</v>
      </c>
      <c r="Y231" s="301" t="str">
        <f t="shared" si="36"/>
        <v>-</v>
      </c>
    </row>
    <row r="232" spans="1:25" x14ac:dyDescent="0.25">
      <c r="A232" s="217">
        <f>'Состав ВТК'!B225</f>
        <v>0</v>
      </c>
      <c r="B232" s="290">
        <f>IFERROR(VLOOKUP($A232,Распределение!$B$13:$L$113,11,FALSE),"-")</f>
        <v>0</v>
      </c>
      <c r="C232" s="291" t="str">
        <f>IFERROR(IF(VLOOKUP($B232,Расценка!$H$3:$I$9,2,FALSE)="НС",Расценка!$T$11,Расценка!$T$12),"-")</f>
        <v>-</v>
      </c>
      <c r="D232" s="291">
        <f>IFERROR(INDEX(Распределение!$1:$1048576,MATCH($A232,Распределение!$B:$B,0),MATCH($D$8,Распределение!$9:$9,0)),"---")</f>
        <v>0</v>
      </c>
      <c r="E232" s="292">
        <f>IFERROR(SUMIFS('Трудозатраты членов ВТК'!$G$17:$G$117,'Трудозатраты членов ВТК'!$D$17:$D$117,A:A),"-")</f>
        <v>0</v>
      </c>
      <c r="F232" s="293">
        <f>IFERROR(SUMIFS('Трудозатраты членов ВТК'!$F$464:$F$713,'Трудозатраты членов ВТК'!$D$464:$D$713,A:A),"-")</f>
        <v>0</v>
      </c>
      <c r="G232" s="302"/>
      <c r="H232" s="295">
        <f t="shared" si="30"/>
        <v>0</v>
      </c>
      <c r="I232" s="296">
        <f>IFERROR(ROUND(IF('Состав ВТК'!$K225=справочник!$A$5,IF(AND('Расчет участников НИР'!$A232='Состав ВТК'!$B225,$I$10='Состав ВТК'!$I225),$F232*$D232*VLOOKUP('Расчет участников НИР'!$B232,Расценка!$C$3:$E$13,3,FALSE),0),0),2),"-")</f>
        <v>0</v>
      </c>
      <c r="J232" s="296">
        <f>IFERROR(ROUND(IF('Состав ВТК'!$K225=справочник!$A$5,IF(AND('Расчет участников НИР'!$A232='Состав ВТК'!$B225,$J$10='Состав ВТК'!$I225),$F232*$D232*VLOOKUP('Расчет участников НИР'!$B232,Расценка!$C$3:$E$13,3,FALSE),0),0),2),"-")</f>
        <v>0</v>
      </c>
      <c r="K232" s="296">
        <f>IFERROR(ROUND(IF('Состав ВТК'!$K225=справочник!$A$5,IF(AND('Расчет участников НИР'!$A232='Состав ВТК'!$B225,$K$10='Состав ВТК'!$I225),$F232*$D232*VLOOKUP('Расчет участников НИР'!$B232,Расценка!$C$3:$E$13,3,FALSE),0),0),2),"-")</f>
        <v>0</v>
      </c>
      <c r="L232" s="297"/>
      <c r="M232" s="295">
        <f t="shared" si="31"/>
        <v>0</v>
      </c>
      <c r="N232" s="298">
        <f>IFERROR(ROUND(IF('Состав ВТК'!$K225=справочник!$A$5,(IF(AND($A232='Состав ВТК'!$B225,$N$10=$C232),$F232*$D232*VLOOKUP($B232,Расценка!$H$3:$K$9,4,FALSE),0)),0),2),"-")</f>
        <v>0</v>
      </c>
      <c r="O232" s="298">
        <f>IFERROR(ROUND(IF('Состав ВТК'!$K225=справочник!$A$5,(IF(AND($A232='Состав ВТК'!$B225,$O$10=$C232),$F232*$D232*VLOOKUP($B232,Расценка!$H$3:$K$9,4,FALSE),0)),0),2),"-")</f>
        <v>0</v>
      </c>
      <c r="P232" s="299">
        <f t="shared" si="32"/>
        <v>0</v>
      </c>
      <c r="Q232" s="300">
        <f t="shared" si="37"/>
        <v>0</v>
      </c>
      <c r="R232" s="300">
        <f t="shared" si="38"/>
        <v>0</v>
      </c>
      <c r="S232" s="295">
        <f t="shared" si="33"/>
        <v>0</v>
      </c>
      <c r="T232" s="298">
        <f>IFERROR(ROUND(IF(AND('Расчет участников НИР'!$A232='Состав ВТК'!$B225,'Расчет участников НИР'!$T$10='Состав ВТК'!$I225),$E232,0),2),"-")</f>
        <v>0</v>
      </c>
      <c r="U232" s="298">
        <f>IFERROR(ROUND(IF(AND('Расчет участников НИР'!$A232='Состав ВТК'!$B225,'Расчет участников НИР'!$U$10='Состав ВТК'!$I225),$E232,0),2),"-")</f>
        <v>0</v>
      </c>
      <c r="V232" s="298">
        <f>IFERROR(ROUND(IF(AND('Расчет участников НИР'!$A232='Состав ВТК'!$B225,'Расчет участников НИР'!$V$10='Состав ВТК'!$I225),$E232,0),2),"-")</f>
        <v>0</v>
      </c>
      <c r="W232" s="301" t="str">
        <f t="shared" si="34"/>
        <v>-</v>
      </c>
      <c r="X232" s="301" t="str">
        <f t="shared" si="35"/>
        <v>-</v>
      </c>
      <c r="Y232" s="301" t="str">
        <f t="shared" si="36"/>
        <v>-</v>
      </c>
    </row>
    <row r="233" spans="1:25" x14ac:dyDescent="0.25">
      <c r="A233" s="217">
        <f>'Состав ВТК'!B226</f>
        <v>0</v>
      </c>
      <c r="B233" s="290">
        <f>IFERROR(VLOOKUP($A233,Распределение!$B$13:$L$113,11,FALSE),"-")</f>
        <v>0</v>
      </c>
      <c r="C233" s="291" t="str">
        <f>IFERROR(IF(VLOOKUP($B233,Расценка!$H$3:$I$9,2,FALSE)="НС",Расценка!$T$11,Расценка!$T$12),"-")</f>
        <v>-</v>
      </c>
      <c r="D233" s="291">
        <f>IFERROR(INDEX(Распределение!$1:$1048576,MATCH($A233,Распределение!$B:$B,0),MATCH($D$8,Распределение!$9:$9,0)),"---")</f>
        <v>0</v>
      </c>
      <c r="E233" s="292">
        <f>IFERROR(SUMIFS('Трудозатраты членов ВТК'!$G$17:$G$117,'Трудозатраты членов ВТК'!$D$17:$D$117,A:A),"-")</f>
        <v>0</v>
      </c>
      <c r="F233" s="293">
        <f>IFERROR(SUMIFS('Трудозатраты членов ВТК'!$F$464:$F$713,'Трудозатраты членов ВТК'!$D$464:$D$713,A:A),"-")</f>
        <v>0</v>
      </c>
      <c r="G233" s="302"/>
      <c r="H233" s="295">
        <f t="shared" si="30"/>
        <v>0</v>
      </c>
      <c r="I233" s="296">
        <f>IFERROR(ROUND(IF('Состав ВТК'!$K226=справочник!$A$5,IF(AND('Расчет участников НИР'!$A233='Состав ВТК'!$B226,$I$10='Состав ВТК'!$I226),$F233*$D233*VLOOKUP('Расчет участников НИР'!$B233,Расценка!$C$3:$E$13,3,FALSE),0),0),2),"-")</f>
        <v>0</v>
      </c>
      <c r="J233" s="296">
        <f>IFERROR(ROUND(IF('Состав ВТК'!$K226=справочник!$A$5,IF(AND('Расчет участников НИР'!$A233='Состав ВТК'!$B226,$J$10='Состав ВТК'!$I226),$F233*$D233*VLOOKUP('Расчет участников НИР'!$B233,Расценка!$C$3:$E$13,3,FALSE),0),0),2),"-")</f>
        <v>0</v>
      </c>
      <c r="K233" s="296">
        <f>IFERROR(ROUND(IF('Состав ВТК'!$K226=справочник!$A$5,IF(AND('Расчет участников НИР'!$A233='Состав ВТК'!$B226,$K$10='Состав ВТК'!$I226),$F233*$D233*VLOOKUP('Расчет участников НИР'!$B233,Расценка!$C$3:$E$13,3,FALSE),0),0),2),"-")</f>
        <v>0</v>
      </c>
      <c r="L233" s="297"/>
      <c r="M233" s="295">
        <f t="shared" si="31"/>
        <v>0</v>
      </c>
      <c r="N233" s="298">
        <f>IFERROR(ROUND(IF('Состав ВТК'!$K226=справочник!$A$5,(IF(AND($A233='Состав ВТК'!$B226,$N$10=$C233),$F233*$D233*VLOOKUP($B233,Расценка!$H$3:$K$9,4,FALSE),0)),0),2),"-")</f>
        <v>0</v>
      </c>
      <c r="O233" s="298">
        <f>IFERROR(ROUND(IF('Состав ВТК'!$K226=справочник!$A$5,(IF(AND($A233='Состав ВТК'!$B226,$O$10=$C233),$F233*$D233*VLOOKUP($B233,Расценка!$H$3:$K$9,4,FALSE),0)),0),2),"-")</f>
        <v>0</v>
      </c>
      <c r="P233" s="299">
        <f t="shared" si="32"/>
        <v>0</v>
      </c>
      <c r="Q233" s="300">
        <f t="shared" si="37"/>
        <v>0</v>
      </c>
      <c r="R233" s="300">
        <f t="shared" si="38"/>
        <v>0</v>
      </c>
      <c r="S233" s="295">
        <f t="shared" si="33"/>
        <v>0</v>
      </c>
      <c r="T233" s="298">
        <f>IFERROR(ROUND(IF(AND('Расчет участников НИР'!$A233='Состав ВТК'!$B226,'Расчет участников НИР'!$T$10='Состав ВТК'!$I226),$E233,0),2),"-")</f>
        <v>0</v>
      </c>
      <c r="U233" s="298">
        <f>IFERROR(ROUND(IF(AND('Расчет участников НИР'!$A233='Состав ВТК'!$B226,'Расчет участников НИР'!$U$10='Состав ВТК'!$I226),$E233,0),2),"-")</f>
        <v>0</v>
      </c>
      <c r="V233" s="298">
        <f>IFERROR(ROUND(IF(AND('Расчет участников НИР'!$A233='Состав ВТК'!$B226,'Расчет участников НИР'!$V$10='Состав ВТК'!$I226),$E233,0),2),"-")</f>
        <v>0</v>
      </c>
      <c r="W233" s="301" t="str">
        <f t="shared" si="34"/>
        <v>-</v>
      </c>
      <c r="X233" s="301" t="str">
        <f t="shared" si="35"/>
        <v>-</v>
      </c>
      <c r="Y233" s="301" t="str">
        <f t="shared" si="36"/>
        <v>-</v>
      </c>
    </row>
    <row r="234" spans="1:25" x14ac:dyDescent="0.25">
      <c r="A234" s="217">
        <f>'Состав ВТК'!B227</f>
        <v>0</v>
      </c>
      <c r="B234" s="290">
        <f>IFERROR(VLOOKUP($A234,Распределение!$B$13:$L$113,11,FALSE),"-")</f>
        <v>0</v>
      </c>
      <c r="C234" s="291" t="str">
        <f>IFERROR(IF(VLOOKUP($B234,Расценка!$H$3:$I$9,2,FALSE)="НС",Расценка!$T$11,Расценка!$T$12),"-")</f>
        <v>-</v>
      </c>
      <c r="D234" s="291">
        <f>IFERROR(INDEX(Распределение!$1:$1048576,MATCH($A234,Распределение!$B:$B,0),MATCH($D$8,Распределение!$9:$9,0)),"---")</f>
        <v>0</v>
      </c>
      <c r="E234" s="292">
        <f>IFERROR(SUMIFS('Трудозатраты членов ВТК'!$G$17:$G$117,'Трудозатраты членов ВТК'!$D$17:$D$117,A:A),"-")</f>
        <v>0</v>
      </c>
      <c r="F234" s="293">
        <f>IFERROR(SUMIFS('Трудозатраты членов ВТК'!$F$464:$F$713,'Трудозатраты членов ВТК'!$D$464:$D$713,A:A),"-")</f>
        <v>0</v>
      </c>
      <c r="G234" s="302"/>
      <c r="H234" s="295">
        <f t="shared" si="30"/>
        <v>0</v>
      </c>
      <c r="I234" s="296">
        <f>IFERROR(ROUND(IF('Состав ВТК'!$K227=справочник!$A$5,IF(AND('Расчет участников НИР'!$A234='Состав ВТК'!$B227,$I$10='Состав ВТК'!$I227),$F234*$D234*VLOOKUP('Расчет участников НИР'!$B234,Расценка!$C$3:$E$13,3,FALSE),0),0),2),"-")</f>
        <v>0</v>
      </c>
      <c r="J234" s="296">
        <f>IFERROR(ROUND(IF('Состав ВТК'!$K227=справочник!$A$5,IF(AND('Расчет участников НИР'!$A234='Состав ВТК'!$B227,$J$10='Состав ВТК'!$I227),$F234*$D234*VLOOKUP('Расчет участников НИР'!$B234,Расценка!$C$3:$E$13,3,FALSE),0),0),2),"-")</f>
        <v>0</v>
      </c>
      <c r="K234" s="296">
        <f>IFERROR(ROUND(IF('Состав ВТК'!$K227=справочник!$A$5,IF(AND('Расчет участников НИР'!$A234='Состав ВТК'!$B227,$K$10='Состав ВТК'!$I227),$F234*$D234*VLOOKUP('Расчет участников НИР'!$B234,Расценка!$C$3:$E$13,3,FALSE),0),0),2),"-")</f>
        <v>0</v>
      </c>
      <c r="L234" s="297"/>
      <c r="M234" s="295">
        <f t="shared" si="31"/>
        <v>0</v>
      </c>
      <c r="N234" s="298">
        <f>IFERROR(ROUND(IF('Состав ВТК'!$K227=справочник!$A$5,(IF(AND($A234='Состав ВТК'!$B227,$N$10=$C234),$F234*$D234*VLOOKUP($B234,Расценка!$H$3:$K$9,4,FALSE),0)),0),2),"-")</f>
        <v>0</v>
      </c>
      <c r="O234" s="298">
        <f>IFERROR(ROUND(IF('Состав ВТК'!$K227=справочник!$A$5,(IF(AND($A234='Состав ВТК'!$B227,$O$10=$C234),$F234*$D234*VLOOKUP($B234,Расценка!$H$3:$K$9,4,FALSE),0)),0),2),"-")</f>
        <v>0</v>
      </c>
      <c r="P234" s="299">
        <f t="shared" si="32"/>
        <v>0</v>
      </c>
      <c r="Q234" s="300">
        <f t="shared" si="37"/>
        <v>0</v>
      </c>
      <c r="R234" s="300">
        <f t="shared" si="38"/>
        <v>0</v>
      </c>
      <c r="S234" s="295">
        <f t="shared" si="33"/>
        <v>0</v>
      </c>
      <c r="T234" s="298">
        <f>IFERROR(ROUND(IF(AND('Расчет участников НИР'!$A234='Состав ВТК'!$B227,'Расчет участников НИР'!$T$10='Состав ВТК'!$I227),$E234,0),2),"-")</f>
        <v>0</v>
      </c>
      <c r="U234" s="298">
        <f>IFERROR(ROUND(IF(AND('Расчет участников НИР'!$A234='Состав ВТК'!$B227,'Расчет участников НИР'!$U$10='Состав ВТК'!$I227),$E234,0),2),"-")</f>
        <v>0</v>
      </c>
      <c r="V234" s="298">
        <f>IFERROR(ROUND(IF(AND('Расчет участников НИР'!$A234='Состав ВТК'!$B227,'Расчет участников НИР'!$V$10='Состав ВТК'!$I227),$E234,0),2),"-")</f>
        <v>0</v>
      </c>
      <c r="W234" s="301" t="str">
        <f t="shared" si="34"/>
        <v>-</v>
      </c>
      <c r="X234" s="301" t="str">
        <f t="shared" si="35"/>
        <v>-</v>
      </c>
      <c r="Y234" s="301" t="str">
        <f t="shared" si="36"/>
        <v>-</v>
      </c>
    </row>
    <row r="235" spans="1:25" x14ac:dyDescent="0.25">
      <c r="A235" s="217">
        <f>'Состав ВТК'!B228</f>
        <v>0</v>
      </c>
      <c r="B235" s="290">
        <f>IFERROR(VLOOKUP($A235,Распределение!$B$13:$L$113,11,FALSE),"-")</f>
        <v>0</v>
      </c>
      <c r="C235" s="291" t="str">
        <f>IFERROR(IF(VLOOKUP($B235,Расценка!$H$3:$I$9,2,FALSE)="НС",Расценка!$T$11,Расценка!$T$12),"-")</f>
        <v>-</v>
      </c>
      <c r="D235" s="291">
        <f>IFERROR(INDEX(Распределение!$1:$1048576,MATCH($A235,Распределение!$B:$B,0),MATCH($D$8,Распределение!$9:$9,0)),"---")</f>
        <v>0</v>
      </c>
      <c r="E235" s="292">
        <f>IFERROR(SUMIFS('Трудозатраты членов ВТК'!$G$17:$G$117,'Трудозатраты членов ВТК'!$D$17:$D$117,A:A),"-")</f>
        <v>0</v>
      </c>
      <c r="F235" s="293">
        <f>IFERROR(SUMIFS('Трудозатраты членов ВТК'!$F$464:$F$713,'Трудозатраты членов ВТК'!$D$464:$D$713,A:A),"-")</f>
        <v>0</v>
      </c>
      <c r="G235" s="302"/>
      <c r="H235" s="295">
        <f t="shared" si="30"/>
        <v>0</v>
      </c>
      <c r="I235" s="296">
        <f>IFERROR(ROUND(IF('Состав ВТК'!$K228=справочник!$A$5,IF(AND('Расчет участников НИР'!$A235='Состав ВТК'!$B228,$I$10='Состав ВТК'!$I228),$F235*$D235*VLOOKUP('Расчет участников НИР'!$B235,Расценка!$C$3:$E$13,3,FALSE),0),0),2),"-")</f>
        <v>0</v>
      </c>
      <c r="J235" s="296">
        <f>IFERROR(ROUND(IF('Состав ВТК'!$K228=справочник!$A$5,IF(AND('Расчет участников НИР'!$A235='Состав ВТК'!$B228,$J$10='Состав ВТК'!$I228),$F235*$D235*VLOOKUP('Расчет участников НИР'!$B235,Расценка!$C$3:$E$13,3,FALSE),0),0),2),"-")</f>
        <v>0</v>
      </c>
      <c r="K235" s="296">
        <f>IFERROR(ROUND(IF('Состав ВТК'!$K228=справочник!$A$5,IF(AND('Расчет участников НИР'!$A235='Состав ВТК'!$B228,$K$10='Состав ВТК'!$I228),$F235*$D235*VLOOKUP('Расчет участников НИР'!$B235,Расценка!$C$3:$E$13,3,FALSE),0),0),2),"-")</f>
        <v>0</v>
      </c>
      <c r="L235" s="297"/>
      <c r="M235" s="295">
        <f t="shared" si="31"/>
        <v>0</v>
      </c>
      <c r="N235" s="298">
        <f>IFERROR(ROUND(IF('Состав ВТК'!$K228=справочник!$A$5,(IF(AND($A235='Состав ВТК'!$B228,$N$10=$C235),$F235*$D235*VLOOKUP($B235,Расценка!$H$3:$K$9,4,FALSE),0)),0),2),"-")</f>
        <v>0</v>
      </c>
      <c r="O235" s="298">
        <f>IFERROR(ROUND(IF('Состав ВТК'!$K228=справочник!$A$5,(IF(AND($A235='Состав ВТК'!$B228,$O$10=$C235),$F235*$D235*VLOOKUP($B235,Расценка!$H$3:$K$9,4,FALSE),0)),0),2),"-")</f>
        <v>0</v>
      </c>
      <c r="P235" s="299">
        <f t="shared" si="32"/>
        <v>0</v>
      </c>
      <c r="Q235" s="300">
        <f t="shared" si="37"/>
        <v>0</v>
      </c>
      <c r="R235" s="300">
        <f t="shared" si="38"/>
        <v>0</v>
      </c>
      <c r="S235" s="295">
        <f t="shared" si="33"/>
        <v>0</v>
      </c>
      <c r="T235" s="298">
        <f>IFERROR(ROUND(IF(AND('Расчет участников НИР'!$A235='Состав ВТК'!$B228,'Расчет участников НИР'!$T$10='Состав ВТК'!$I228),$E235,0),2),"-")</f>
        <v>0</v>
      </c>
      <c r="U235" s="298">
        <f>IFERROR(ROUND(IF(AND('Расчет участников НИР'!$A235='Состав ВТК'!$B228,'Расчет участников НИР'!$U$10='Состав ВТК'!$I228),$E235,0),2),"-")</f>
        <v>0</v>
      </c>
      <c r="V235" s="298">
        <f>IFERROR(ROUND(IF(AND('Расчет участников НИР'!$A235='Состав ВТК'!$B228,'Расчет участников НИР'!$V$10='Состав ВТК'!$I228),$E235,0),2),"-")</f>
        <v>0</v>
      </c>
      <c r="W235" s="301" t="str">
        <f t="shared" si="34"/>
        <v>-</v>
      </c>
      <c r="X235" s="301" t="str">
        <f t="shared" si="35"/>
        <v>-</v>
      </c>
      <c r="Y235" s="301" t="str">
        <f t="shared" si="36"/>
        <v>-</v>
      </c>
    </row>
    <row r="236" spans="1:25" x14ac:dyDescent="0.25">
      <c r="A236" s="217">
        <f>'Состав ВТК'!B229</f>
        <v>0</v>
      </c>
      <c r="B236" s="290">
        <f>IFERROR(VLOOKUP($A236,Распределение!$B$13:$L$113,11,FALSE),"-")</f>
        <v>0</v>
      </c>
      <c r="C236" s="291" t="str">
        <f>IFERROR(IF(VLOOKUP($B236,Расценка!$H$3:$I$9,2,FALSE)="НС",Расценка!$T$11,Расценка!$T$12),"-")</f>
        <v>-</v>
      </c>
      <c r="D236" s="291">
        <f>IFERROR(INDEX(Распределение!$1:$1048576,MATCH($A236,Распределение!$B:$B,0),MATCH($D$8,Распределение!$9:$9,0)),"---")</f>
        <v>0</v>
      </c>
      <c r="E236" s="292">
        <f>IFERROR(SUMIFS('Трудозатраты членов ВТК'!$G$17:$G$117,'Трудозатраты членов ВТК'!$D$17:$D$117,A:A),"-")</f>
        <v>0</v>
      </c>
      <c r="F236" s="293">
        <f>IFERROR(SUMIFS('Трудозатраты членов ВТК'!$F$464:$F$713,'Трудозатраты членов ВТК'!$D$464:$D$713,A:A),"-")</f>
        <v>0</v>
      </c>
      <c r="G236" s="302"/>
      <c r="H236" s="295">
        <f t="shared" si="30"/>
        <v>0</v>
      </c>
      <c r="I236" s="296">
        <f>IFERROR(ROUND(IF('Состав ВТК'!$K229=справочник!$A$5,IF(AND('Расчет участников НИР'!$A236='Состав ВТК'!$B229,$I$10='Состав ВТК'!$I229),$F236*$D236*VLOOKUP('Расчет участников НИР'!$B236,Расценка!$C$3:$E$13,3,FALSE),0),0),2),"-")</f>
        <v>0</v>
      </c>
      <c r="J236" s="296">
        <f>IFERROR(ROUND(IF('Состав ВТК'!$K229=справочник!$A$5,IF(AND('Расчет участников НИР'!$A236='Состав ВТК'!$B229,$J$10='Состав ВТК'!$I229),$F236*$D236*VLOOKUP('Расчет участников НИР'!$B236,Расценка!$C$3:$E$13,3,FALSE),0),0),2),"-")</f>
        <v>0</v>
      </c>
      <c r="K236" s="296">
        <f>IFERROR(ROUND(IF('Состав ВТК'!$K229=справочник!$A$5,IF(AND('Расчет участников НИР'!$A236='Состав ВТК'!$B229,$K$10='Состав ВТК'!$I229),$F236*$D236*VLOOKUP('Расчет участников НИР'!$B236,Расценка!$C$3:$E$13,3,FALSE),0),0),2),"-")</f>
        <v>0</v>
      </c>
      <c r="L236" s="297"/>
      <c r="M236" s="295">
        <f t="shared" si="31"/>
        <v>0</v>
      </c>
      <c r="N236" s="298">
        <f>IFERROR(ROUND(IF('Состав ВТК'!$K229=справочник!$A$5,(IF(AND($A236='Состав ВТК'!$B229,$N$10=$C236),$F236*$D236*VLOOKUP($B236,Расценка!$H$3:$K$9,4,FALSE),0)),0),2),"-")</f>
        <v>0</v>
      </c>
      <c r="O236" s="298">
        <f>IFERROR(ROUND(IF('Состав ВТК'!$K229=справочник!$A$5,(IF(AND($A236='Состав ВТК'!$B229,$O$10=$C236),$F236*$D236*VLOOKUP($B236,Расценка!$H$3:$K$9,4,FALSE),0)),0),2),"-")</f>
        <v>0</v>
      </c>
      <c r="P236" s="299">
        <f t="shared" si="32"/>
        <v>0</v>
      </c>
      <c r="Q236" s="300">
        <f t="shared" si="37"/>
        <v>0</v>
      </c>
      <c r="R236" s="300">
        <f t="shared" si="38"/>
        <v>0</v>
      </c>
      <c r="S236" s="295">
        <f t="shared" si="33"/>
        <v>0</v>
      </c>
      <c r="T236" s="298">
        <f>IFERROR(ROUND(IF(AND('Расчет участников НИР'!$A236='Состав ВТК'!$B229,'Расчет участников НИР'!$T$10='Состав ВТК'!$I229),$E236,0),2),"-")</f>
        <v>0</v>
      </c>
      <c r="U236" s="298">
        <f>IFERROR(ROUND(IF(AND('Расчет участников НИР'!$A236='Состав ВТК'!$B229,'Расчет участников НИР'!$U$10='Состав ВТК'!$I229),$E236,0),2),"-")</f>
        <v>0</v>
      </c>
      <c r="V236" s="298">
        <f>IFERROR(ROUND(IF(AND('Расчет участников НИР'!$A236='Состав ВТК'!$B229,'Расчет участников НИР'!$V$10='Состав ВТК'!$I229),$E236,0),2),"-")</f>
        <v>0</v>
      </c>
      <c r="W236" s="301" t="str">
        <f t="shared" si="34"/>
        <v>-</v>
      </c>
      <c r="X236" s="301" t="str">
        <f t="shared" si="35"/>
        <v>-</v>
      </c>
      <c r="Y236" s="301" t="str">
        <f t="shared" si="36"/>
        <v>-</v>
      </c>
    </row>
    <row r="237" spans="1:25" x14ac:dyDescent="0.25">
      <c r="A237" s="217">
        <f>'Состав ВТК'!B230</f>
        <v>0</v>
      </c>
      <c r="B237" s="290">
        <f>IFERROR(VLOOKUP($A237,Распределение!$B$13:$L$113,11,FALSE),"-")</f>
        <v>0</v>
      </c>
      <c r="C237" s="291" t="str">
        <f>IFERROR(IF(VLOOKUP($B237,Расценка!$H$3:$I$9,2,FALSE)="НС",Расценка!$T$11,Расценка!$T$12),"-")</f>
        <v>-</v>
      </c>
      <c r="D237" s="291">
        <f>IFERROR(INDEX(Распределение!$1:$1048576,MATCH($A237,Распределение!$B:$B,0),MATCH($D$8,Распределение!$9:$9,0)),"---")</f>
        <v>0</v>
      </c>
      <c r="E237" s="292">
        <f>IFERROR(SUMIFS('Трудозатраты членов ВТК'!$G$17:$G$117,'Трудозатраты членов ВТК'!$D$17:$D$117,A:A),"-")</f>
        <v>0</v>
      </c>
      <c r="F237" s="293">
        <f>IFERROR(SUMIFS('Трудозатраты членов ВТК'!$F$464:$F$713,'Трудозатраты членов ВТК'!$D$464:$D$713,A:A),"-")</f>
        <v>0</v>
      </c>
      <c r="G237" s="302"/>
      <c r="H237" s="295">
        <f t="shared" si="30"/>
        <v>0</v>
      </c>
      <c r="I237" s="296">
        <f>IFERROR(ROUND(IF('Состав ВТК'!$K230=справочник!$A$5,IF(AND('Расчет участников НИР'!$A237='Состав ВТК'!$B230,$I$10='Состав ВТК'!$I230),$F237*$D237*VLOOKUP('Расчет участников НИР'!$B237,Расценка!$C$3:$E$13,3,FALSE),0),0),2),"-")</f>
        <v>0</v>
      </c>
      <c r="J237" s="296">
        <f>IFERROR(ROUND(IF('Состав ВТК'!$K230=справочник!$A$5,IF(AND('Расчет участников НИР'!$A237='Состав ВТК'!$B230,$J$10='Состав ВТК'!$I230),$F237*$D237*VLOOKUP('Расчет участников НИР'!$B237,Расценка!$C$3:$E$13,3,FALSE),0),0),2),"-")</f>
        <v>0</v>
      </c>
      <c r="K237" s="296">
        <f>IFERROR(ROUND(IF('Состав ВТК'!$K230=справочник!$A$5,IF(AND('Расчет участников НИР'!$A237='Состав ВТК'!$B230,$K$10='Состав ВТК'!$I230),$F237*$D237*VLOOKUP('Расчет участников НИР'!$B237,Расценка!$C$3:$E$13,3,FALSE),0),0),2),"-")</f>
        <v>0</v>
      </c>
      <c r="L237" s="297"/>
      <c r="M237" s="295">
        <f t="shared" si="31"/>
        <v>0</v>
      </c>
      <c r="N237" s="298">
        <f>IFERROR(ROUND(IF('Состав ВТК'!$K230=справочник!$A$5,(IF(AND($A237='Состав ВТК'!$B230,$N$10=$C237),$F237*$D237*VLOOKUP($B237,Расценка!$H$3:$K$9,4,FALSE),0)),0),2),"-")</f>
        <v>0</v>
      </c>
      <c r="O237" s="298">
        <f>IFERROR(ROUND(IF('Состав ВТК'!$K230=справочник!$A$5,(IF(AND($A237='Состав ВТК'!$B230,$O$10=$C237),$F237*$D237*VLOOKUP($B237,Расценка!$H$3:$K$9,4,FALSE),0)),0),2),"-")</f>
        <v>0</v>
      </c>
      <c r="P237" s="299">
        <f t="shared" si="32"/>
        <v>0</v>
      </c>
      <c r="Q237" s="300">
        <f t="shared" si="37"/>
        <v>0</v>
      </c>
      <c r="R237" s="300">
        <f t="shared" si="38"/>
        <v>0</v>
      </c>
      <c r="S237" s="295">
        <f t="shared" si="33"/>
        <v>0</v>
      </c>
      <c r="T237" s="298">
        <f>IFERROR(ROUND(IF(AND('Расчет участников НИР'!$A237='Состав ВТК'!$B230,'Расчет участников НИР'!$T$10='Состав ВТК'!$I230),$E237,0),2),"-")</f>
        <v>0</v>
      </c>
      <c r="U237" s="298">
        <f>IFERROR(ROUND(IF(AND('Расчет участников НИР'!$A237='Состав ВТК'!$B230,'Расчет участников НИР'!$U$10='Состав ВТК'!$I230),$E237,0),2),"-")</f>
        <v>0</v>
      </c>
      <c r="V237" s="298">
        <f>IFERROR(ROUND(IF(AND('Расчет участников НИР'!$A237='Состав ВТК'!$B230,'Расчет участников НИР'!$V$10='Состав ВТК'!$I230),$E237,0),2),"-")</f>
        <v>0</v>
      </c>
      <c r="W237" s="301" t="str">
        <f t="shared" si="34"/>
        <v>-</v>
      </c>
      <c r="X237" s="301" t="str">
        <f t="shared" si="35"/>
        <v>-</v>
      </c>
      <c r="Y237" s="301" t="str">
        <f t="shared" si="36"/>
        <v>-</v>
      </c>
    </row>
    <row r="238" spans="1:25" x14ac:dyDescent="0.25">
      <c r="A238" s="217">
        <f>'Состав ВТК'!B231</f>
        <v>0</v>
      </c>
      <c r="B238" s="290">
        <f>IFERROR(VLOOKUP($A238,Распределение!$B$13:$L$113,11,FALSE),"-")</f>
        <v>0</v>
      </c>
      <c r="C238" s="291" t="str">
        <f>IFERROR(IF(VLOOKUP($B238,Расценка!$H$3:$I$9,2,FALSE)="НС",Расценка!$T$11,Расценка!$T$12),"-")</f>
        <v>-</v>
      </c>
      <c r="D238" s="291">
        <f>IFERROR(INDEX(Распределение!$1:$1048576,MATCH($A238,Распределение!$B:$B,0),MATCH($D$8,Распределение!$9:$9,0)),"---")</f>
        <v>0</v>
      </c>
      <c r="E238" s="292">
        <f>IFERROR(SUMIFS('Трудозатраты членов ВТК'!$G$17:$G$117,'Трудозатраты членов ВТК'!$D$17:$D$117,A:A),"-")</f>
        <v>0</v>
      </c>
      <c r="F238" s="293">
        <f>IFERROR(SUMIFS('Трудозатраты членов ВТК'!$F$464:$F$713,'Трудозатраты членов ВТК'!$D$464:$D$713,A:A),"-")</f>
        <v>0</v>
      </c>
      <c r="G238" s="302"/>
      <c r="H238" s="295">
        <f t="shared" si="30"/>
        <v>0</v>
      </c>
      <c r="I238" s="296">
        <f>IFERROR(ROUND(IF('Состав ВТК'!$K231=справочник!$A$5,IF(AND('Расчет участников НИР'!$A238='Состав ВТК'!$B231,$I$10='Состав ВТК'!$I231),$F238*$D238*VLOOKUP('Расчет участников НИР'!$B238,Расценка!$C$3:$E$13,3,FALSE),0),0),2),"-")</f>
        <v>0</v>
      </c>
      <c r="J238" s="296">
        <f>IFERROR(ROUND(IF('Состав ВТК'!$K231=справочник!$A$5,IF(AND('Расчет участников НИР'!$A238='Состав ВТК'!$B231,$J$10='Состав ВТК'!$I231),$F238*$D238*VLOOKUP('Расчет участников НИР'!$B238,Расценка!$C$3:$E$13,3,FALSE),0),0),2),"-")</f>
        <v>0</v>
      </c>
      <c r="K238" s="296">
        <f>IFERROR(ROUND(IF('Состав ВТК'!$K231=справочник!$A$5,IF(AND('Расчет участников НИР'!$A238='Состав ВТК'!$B231,$K$10='Состав ВТК'!$I231),$F238*$D238*VLOOKUP('Расчет участников НИР'!$B238,Расценка!$C$3:$E$13,3,FALSE),0),0),2),"-")</f>
        <v>0</v>
      </c>
      <c r="L238" s="297"/>
      <c r="M238" s="295">
        <f t="shared" si="31"/>
        <v>0</v>
      </c>
      <c r="N238" s="298">
        <f>IFERROR(ROUND(IF('Состав ВТК'!$K231=справочник!$A$5,(IF(AND($A238='Состав ВТК'!$B231,$N$10=$C238),$F238*$D238*VLOOKUP($B238,Расценка!$H$3:$K$9,4,FALSE),0)),0),2),"-")</f>
        <v>0</v>
      </c>
      <c r="O238" s="298">
        <f>IFERROR(ROUND(IF('Состав ВТК'!$K231=справочник!$A$5,(IF(AND($A238='Состав ВТК'!$B231,$O$10=$C238),$F238*$D238*VLOOKUP($B238,Расценка!$H$3:$K$9,4,FALSE),0)),0),2),"-")</f>
        <v>0</v>
      </c>
      <c r="P238" s="299">
        <f t="shared" si="32"/>
        <v>0</v>
      </c>
      <c r="Q238" s="300">
        <f t="shared" si="37"/>
        <v>0</v>
      </c>
      <c r="R238" s="300">
        <f t="shared" si="38"/>
        <v>0</v>
      </c>
      <c r="S238" s="295">
        <f t="shared" si="33"/>
        <v>0</v>
      </c>
      <c r="T238" s="298">
        <f>IFERROR(ROUND(IF(AND('Расчет участников НИР'!$A238='Состав ВТК'!$B231,'Расчет участников НИР'!$T$10='Состав ВТК'!$I231),$E238,0),2),"-")</f>
        <v>0</v>
      </c>
      <c r="U238" s="298">
        <f>IFERROR(ROUND(IF(AND('Расчет участников НИР'!$A238='Состав ВТК'!$B231,'Расчет участников НИР'!$U$10='Состав ВТК'!$I231),$E238,0),2),"-")</f>
        <v>0</v>
      </c>
      <c r="V238" s="298">
        <f>IFERROR(ROUND(IF(AND('Расчет участников НИР'!$A238='Состав ВТК'!$B231,'Расчет участников НИР'!$V$10='Состав ВТК'!$I231),$E238,0),2),"-")</f>
        <v>0</v>
      </c>
      <c r="W238" s="301" t="str">
        <f t="shared" si="34"/>
        <v>-</v>
      </c>
      <c r="X238" s="301" t="str">
        <f t="shared" si="35"/>
        <v>-</v>
      </c>
      <c r="Y238" s="301" t="str">
        <f t="shared" si="36"/>
        <v>-</v>
      </c>
    </row>
    <row r="239" spans="1:25" x14ac:dyDescent="0.25">
      <c r="A239" s="217">
        <f>'Состав ВТК'!B232</f>
        <v>0</v>
      </c>
      <c r="B239" s="290">
        <f>IFERROR(VLOOKUP($A239,Распределение!$B$13:$L$113,11,FALSE),"-")</f>
        <v>0</v>
      </c>
      <c r="C239" s="291" t="str">
        <f>IFERROR(IF(VLOOKUP($B239,Расценка!$H$3:$I$9,2,FALSE)="НС",Расценка!$T$11,Расценка!$T$12),"-")</f>
        <v>-</v>
      </c>
      <c r="D239" s="291">
        <f>IFERROR(INDEX(Распределение!$1:$1048576,MATCH($A239,Распределение!$B:$B,0),MATCH($D$8,Распределение!$9:$9,0)),"---")</f>
        <v>0</v>
      </c>
      <c r="E239" s="292">
        <f>IFERROR(SUMIFS('Трудозатраты членов ВТК'!$G$17:$G$117,'Трудозатраты членов ВТК'!$D$17:$D$117,A:A),"-")</f>
        <v>0</v>
      </c>
      <c r="F239" s="293">
        <f>IFERROR(SUMIFS('Трудозатраты членов ВТК'!$F$464:$F$713,'Трудозатраты членов ВТК'!$D$464:$D$713,A:A),"-")</f>
        <v>0</v>
      </c>
      <c r="G239" s="302"/>
      <c r="H239" s="295">
        <f t="shared" ref="H239:H302" si="39">SUM(I239:K239)</f>
        <v>0</v>
      </c>
      <c r="I239" s="296">
        <f>IFERROR(ROUND(IF('Состав ВТК'!$K232=справочник!$A$5,IF(AND('Расчет участников НИР'!$A239='Состав ВТК'!$B232,$I$10='Состав ВТК'!$I232),$F239*$D239*VLOOKUP('Расчет участников НИР'!$B239,Расценка!$C$3:$E$13,3,FALSE),0),0),2),"-")</f>
        <v>0</v>
      </c>
      <c r="J239" s="296">
        <f>IFERROR(ROUND(IF('Состав ВТК'!$K232=справочник!$A$5,IF(AND('Расчет участников НИР'!$A239='Состав ВТК'!$B232,$J$10='Состав ВТК'!$I232),$F239*$D239*VLOOKUP('Расчет участников НИР'!$B239,Расценка!$C$3:$E$13,3,FALSE),0),0),2),"-")</f>
        <v>0</v>
      </c>
      <c r="K239" s="296">
        <f>IFERROR(ROUND(IF('Состав ВТК'!$K232=справочник!$A$5,IF(AND('Расчет участников НИР'!$A239='Состав ВТК'!$B232,$K$10='Состав ВТК'!$I232),$F239*$D239*VLOOKUP('Расчет участников НИР'!$B239,Расценка!$C$3:$E$13,3,FALSE),0),0),2),"-")</f>
        <v>0</v>
      </c>
      <c r="L239" s="297"/>
      <c r="M239" s="295">
        <f t="shared" ref="M239:M302" si="40">SUM(N239:O239)</f>
        <v>0</v>
      </c>
      <c r="N239" s="298">
        <f>IFERROR(ROUND(IF('Состав ВТК'!$K232=справочник!$A$5,(IF(AND($A239='Состав ВТК'!$B232,$N$10=$C239),$F239*$D239*VLOOKUP($B239,Расценка!$H$3:$K$9,4,FALSE),0)),0),2),"-")</f>
        <v>0</v>
      </c>
      <c r="O239" s="298">
        <f>IFERROR(ROUND(IF('Состав ВТК'!$K232=справочник!$A$5,(IF(AND($A239='Состав ВТК'!$B232,$O$10=$C239),$F239*$D239*VLOOKUP($B239,Расценка!$H$3:$K$9,4,FALSE),0)),0),2),"-")</f>
        <v>0</v>
      </c>
      <c r="P239" s="299">
        <f t="shared" ref="P239:P302" si="41">H239-M239</f>
        <v>0</v>
      </c>
      <c r="Q239" s="300">
        <f t="shared" si="37"/>
        <v>0</v>
      </c>
      <c r="R239" s="300">
        <f t="shared" si="38"/>
        <v>0</v>
      </c>
      <c r="S239" s="295">
        <f t="shared" ref="S239:S302" si="42">SUM(T239:V239)</f>
        <v>0</v>
      </c>
      <c r="T239" s="298">
        <f>IFERROR(ROUND(IF(AND('Расчет участников НИР'!$A239='Состав ВТК'!$B232,'Расчет участников НИР'!$T$10='Состав ВТК'!$I232),$E239,0),2),"-")</f>
        <v>0</v>
      </c>
      <c r="U239" s="298">
        <f>IFERROR(ROUND(IF(AND('Расчет участников НИР'!$A239='Состав ВТК'!$B232,'Расчет участников НИР'!$U$10='Состав ВТК'!$I232),$E239,0),2),"-")</f>
        <v>0</v>
      </c>
      <c r="V239" s="298">
        <f>IFERROR(ROUND(IF(AND('Расчет участников НИР'!$A239='Состав ВТК'!$B232,'Расчет участников НИР'!$V$10='Состав ВТК'!$I232),$E239,0),2),"-")</f>
        <v>0</v>
      </c>
      <c r="W239" s="301" t="str">
        <f t="shared" ref="W239:W302" si="43">IFERROR(T239/$S239,"-")</f>
        <v>-</v>
      </c>
      <c r="X239" s="301" t="str">
        <f t="shared" ref="X239:X302" si="44">IFERROR(U239/$S239,"-")</f>
        <v>-</v>
      </c>
      <c r="Y239" s="301" t="str">
        <f t="shared" ref="Y239:Y302" si="45">IFERROR(V239/$S239,"-")</f>
        <v>-</v>
      </c>
    </row>
    <row r="240" spans="1:25" x14ac:dyDescent="0.25">
      <c r="A240" s="217">
        <f>'Состав ВТК'!B233</f>
        <v>0</v>
      </c>
      <c r="B240" s="290">
        <f>IFERROR(VLOOKUP($A240,Распределение!$B$13:$L$113,11,FALSE),"-")</f>
        <v>0</v>
      </c>
      <c r="C240" s="291" t="str">
        <f>IFERROR(IF(VLOOKUP($B240,Расценка!$H$3:$I$9,2,FALSE)="НС",Расценка!$T$11,Расценка!$T$12),"-")</f>
        <v>-</v>
      </c>
      <c r="D240" s="291">
        <f>IFERROR(INDEX(Распределение!$1:$1048576,MATCH($A240,Распределение!$B:$B,0),MATCH($D$8,Распределение!$9:$9,0)),"---")</f>
        <v>0</v>
      </c>
      <c r="E240" s="292">
        <f>IFERROR(SUMIFS('Трудозатраты членов ВТК'!$G$17:$G$117,'Трудозатраты членов ВТК'!$D$17:$D$117,A:A),"-")</f>
        <v>0</v>
      </c>
      <c r="F240" s="293">
        <f>IFERROR(SUMIFS('Трудозатраты членов ВТК'!$F$464:$F$713,'Трудозатраты членов ВТК'!$D$464:$D$713,A:A),"-")</f>
        <v>0</v>
      </c>
      <c r="G240" s="302"/>
      <c r="H240" s="295">
        <f t="shared" si="39"/>
        <v>0</v>
      </c>
      <c r="I240" s="296">
        <f>IFERROR(ROUND(IF('Состав ВТК'!$K233=справочник!$A$5,IF(AND('Расчет участников НИР'!$A240='Состав ВТК'!$B233,$I$10='Состав ВТК'!$I233),$F240*$D240*VLOOKUP('Расчет участников НИР'!$B240,Расценка!$C$3:$E$13,3,FALSE),0),0),2),"-")</f>
        <v>0</v>
      </c>
      <c r="J240" s="296">
        <f>IFERROR(ROUND(IF('Состав ВТК'!$K233=справочник!$A$5,IF(AND('Расчет участников НИР'!$A240='Состав ВТК'!$B233,$J$10='Состав ВТК'!$I233),$F240*$D240*VLOOKUP('Расчет участников НИР'!$B240,Расценка!$C$3:$E$13,3,FALSE),0),0),2),"-")</f>
        <v>0</v>
      </c>
      <c r="K240" s="296">
        <f>IFERROR(ROUND(IF('Состав ВТК'!$K233=справочник!$A$5,IF(AND('Расчет участников НИР'!$A240='Состав ВТК'!$B233,$K$10='Состав ВТК'!$I233),$F240*$D240*VLOOKUP('Расчет участников НИР'!$B240,Расценка!$C$3:$E$13,3,FALSE),0),0),2),"-")</f>
        <v>0</v>
      </c>
      <c r="L240" s="297"/>
      <c r="M240" s="295">
        <f t="shared" si="40"/>
        <v>0</v>
      </c>
      <c r="N240" s="298">
        <f>IFERROR(ROUND(IF('Состав ВТК'!$K233=справочник!$A$5,(IF(AND($A240='Состав ВТК'!$B233,$N$10=$C240),$F240*$D240*VLOOKUP($B240,Расценка!$H$3:$K$9,4,FALSE),0)),0),2),"-")</f>
        <v>0</v>
      </c>
      <c r="O240" s="298">
        <f>IFERROR(ROUND(IF('Состав ВТК'!$K233=справочник!$A$5,(IF(AND($A240='Состав ВТК'!$B233,$O$10=$C240),$F240*$D240*VLOOKUP($B240,Расценка!$H$3:$K$9,4,FALSE),0)),0),2),"-")</f>
        <v>0</v>
      </c>
      <c r="P240" s="299">
        <f t="shared" si="41"/>
        <v>0</v>
      </c>
      <c r="Q240" s="300">
        <f t="shared" si="37"/>
        <v>0</v>
      </c>
      <c r="R240" s="300">
        <f t="shared" si="38"/>
        <v>0</v>
      </c>
      <c r="S240" s="295">
        <f t="shared" si="42"/>
        <v>0</v>
      </c>
      <c r="T240" s="298">
        <f>IFERROR(ROUND(IF(AND('Расчет участников НИР'!$A240='Состав ВТК'!$B233,'Расчет участников НИР'!$T$10='Состав ВТК'!$I233),$E240,0),2),"-")</f>
        <v>0</v>
      </c>
      <c r="U240" s="298">
        <f>IFERROR(ROUND(IF(AND('Расчет участников НИР'!$A240='Состав ВТК'!$B233,'Расчет участников НИР'!$U$10='Состав ВТК'!$I233),$E240,0),2),"-")</f>
        <v>0</v>
      </c>
      <c r="V240" s="298">
        <f>IFERROR(ROUND(IF(AND('Расчет участников НИР'!$A240='Состав ВТК'!$B233,'Расчет участников НИР'!$V$10='Состав ВТК'!$I233),$E240,0),2),"-")</f>
        <v>0</v>
      </c>
      <c r="W240" s="301" t="str">
        <f t="shared" si="43"/>
        <v>-</v>
      </c>
      <c r="X240" s="301" t="str">
        <f t="shared" si="44"/>
        <v>-</v>
      </c>
      <c r="Y240" s="301" t="str">
        <f t="shared" si="45"/>
        <v>-</v>
      </c>
    </row>
    <row r="241" spans="1:25" x14ac:dyDescent="0.25">
      <c r="A241" s="217">
        <f>'Состав ВТК'!B234</f>
        <v>0</v>
      </c>
      <c r="B241" s="290">
        <f>IFERROR(VLOOKUP($A241,Распределение!$B$13:$L$113,11,FALSE),"-")</f>
        <v>0</v>
      </c>
      <c r="C241" s="291" t="str">
        <f>IFERROR(IF(VLOOKUP($B241,Расценка!$H$3:$I$9,2,FALSE)="НС",Расценка!$T$11,Расценка!$T$12),"-")</f>
        <v>-</v>
      </c>
      <c r="D241" s="291">
        <f>IFERROR(INDEX(Распределение!$1:$1048576,MATCH($A241,Распределение!$B:$B,0),MATCH($D$8,Распределение!$9:$9,0)),"---")</f>
        <v>0</v>
      </c>
      <c r="E241" s="292">
        <f>IFERROR(SUMIFS('Трудозатраты членов ВТК'!$G$17:$G$117,'Трудозатраты членов ВТК'!$D$17:$D$117,A:A),"-")</f>
        <v>0</v>
      </c>
      <c r="F241" s="293">
        <f>IFERROR(SUMIFS('Трудозатраты членов ВТК'!$F$464:$F$713,'Трудозатраты членов ВТК'!$D$464:$D$713,A:A),"-")</f>
        <v>0</v>
      </c>
      <c r="G241" s="302"/>
      <c r="H241" s="295">
        <f t="shared" si="39"/>
        <v>0</v>
      </c>
      <c r="I241" s="296">
        <f>IFERROR(ROUND(IF('Состав ВТК'!$K234=справочник!$A$5,IF(AND('Расчет участников НИР'!$A241='Состав ВТК'!$B234,$I$10='Состав ВТК'!$I234),$F241*$D241*VLOOKUP('Расчет участников НИР'!$B241,Расценка!$C$3:$E$13,3,FALSE),0),0),2),"-")</f>
        <v>0</v>
      </c>
      <c r="J241" s="296">
        <f>IFERROR(ROUND(IF('Состав ВТК'!$K234=справочник!$A$5,IF(AND('Расчет участников НИР'!$A241='Состав ВТК'!$B234,$J$10='Состав ВТК'!$I234),$F241*$D241*VLOOKUP('Расчет участников НИР'!$B241,Расценка!$C$3:$E$13,3,FALSE),0),0),2),"-")</f>
        <v>0</v>
      </c>
      <c r="K241" s="296">
        <f>IFERROR(ROUND(IF('Состав ВТК'!$K234=справочник!$A$5,IF(AND('Расчет участников НИР'!$A241='Состав ВТК'!$B234,$K$10='Состав ВТК'!$I234),$F241*$D241*VLOOKUP('Расчет участников НИР'!$B241,Расценка!$C$3:$E$13,3,FALSE),0),0),2),"-")</f>
        <v>0</v>
      </c>
      <c r="L241" s="297"/>
      <c r="M241" s="295">
        <f t="shared" si="40"/>
        <v>0</v>
      </c>
      <c r="N241" s="298">
        <f>IFERROR(ROUND(IF('Состав ВТК'!$K234=справочник!$A$5,(IF(AND($A241='Состав ВТК'!$B234,$N$10=$C241),$F241*$D241*VLOOKUP($B241,Расценка!$H$3:$K$9,4,FALSE),0)),0),2),"-")</f>
        <v>0</v>
      </c>
      <c r="O241" s="298">
        <f>IFERROR(ROUND(IF('Состав ВТК'!$K234=справочник!$A$5,(IF(AND($A241='Состав ВТК'!$B234,$O$10=$C241),$F241*$D241*VLOOKUP($B241,Расценка!$H$3:$K$9,4,FALSE),0)),0),2),"-")</f>
        <v>0</v>
      </c>
      <c r="P241" s="299">
        <f t="shared" si="41"/>
        <v>0</v>
      </c>
      <c r="Q241" s="300">
        <f t="shared" si="37"/>
        <v>0</v>
      </c>
      <c r="R241" s="300">
        <f t="shared" si="38"/>
        <v>0</v>
      </c>
      <c r="S241" s="295">
        <f t="shared" si="42"/>
        <v>0</v>
      </c>
      <c r="T241" s="298">
        <f>IFERROR(ROUND(IF(AND('Расчет участников НИР'!$A241='Состав ВТК'!$B234,'Расчет участников НИР'!$T$10='Состав ВТК'!$I234),$E241,0),2),"-")</f>
        <v>0</v>
      </c>
      <c r="U241" s="298">
        <f>IFERROR(ROUND(IF(AND('Расчет участников НИР'!$A241='Состав ВТК'!$B234,'Расчет участников НИР'!$U$10='Состав ВТК'!$I234),$E241,0),2),"-")</f>
        <v>0</v>
      </c>
      <c r="V241" s="298">
        <f>IFERROR(ROUND(IF(AND('Расчет участников НИР'!$A241='Состав ВТК'!$B234,'Расчет участников НИР'!$V$10='Состав ВТК'!$I234),$E241,0),2),"-")</f>
        <v>0</v>
      </c>
      <c r="W241" s="301" t="str">
        <f t="shared" si="43"/>
        <v>-</v>
      </c>
      <c r="X241" s="301" t="str">
        <f t="shared" si="44"/>
        <v>-</v>
      </c>
      <c r="Y241" s="301" t="str">
        <f t="shared" si="45"/>
        <v>-</v>
      </c>
    </row>
    <row r="242" spans="1:25" x14ac:dyDescent="0.25">
      <c r="A242" s="217">
        <f>'Состав ВТК'!B235</f>
        <v>0</v>
      </c>
      <c r="B242" s="290">
        <f>IFERROR(VLOOKUP($A242,Распределение!$B$13:$L$113,11,FALSE),"-")</f>
        <v>0</v>
      </c>
      <c r="C242" s="291" t="str">
        <f>IFERROR(IF(VLOOKUP($B242,Расценка!$H$3:$I$9,2,FALSE)="НС",Расценка!$T$11,Расценка!$T$12),"-")</f>
        <v>-</v>
      </c>
      <c r="D242" s="291">
        <f>IFERROR(INDEX(Распределение!$1:$1048576,MATCH($A242,Распределение!$B:$B,0),MATCH($D$8,Распределение!$9:$9,0)),"---")</f>
        <v>0</v>
      </c>
      <c r="E242" s="292">
        <f>IFERROR(SUMIFS('Трудозатраты членов ВТК'!$G$17:$G$117,'Трудозатраты членов ВТК'!$D$17:$D$117,A:A),"-")</f>
        <v>0</v>
      </c>
      <c r="F242" s="293">
        <f>IFERROR(SUMIFS('Трудозатраты членов ВТК'!$F$464:$F$713,'Трудозатраты членов ВТК'!$D$464:$D$713,A:A),"-")</f>
        <v>0</v>
      </c>
      <c r="G242" s="302"/>
      <c r="H242" s="295">
        <f t="shared" si="39"/>
        <v>0</v>
      </c>
      <c r="I242" s="296">
        <f>IFERROR(ROUND(IF('Состав ВТК'!$K235=справочник!$A$5,IF(AND('Расчет участников НИР'!$A242='Состав ВТК'!$B235,$I$10='Состав ВТК'!$I235),$F242*$D242*VLOOKUP('Расчет участников НИР'!$B242,Расценка!$C$3:$E$13,3,FALSE),0),0),2),"-")</f>
        <v>0</v>
      </c>
      <c r="J242" s="296">
        <f>IFERROR(ROUND(IF('Состав ВТК'!$K235=справочник!$A$5,IF(AND('Расчет участников НИР'!$A242='Состав ВТК'!$B235,$J$10='Состав ВТК'!$I235),$F242*$D242*VLOOKUP('Расчет участников НИР'!$B242,Расценка!$C$3:$E$13,3,FALSE),0),0),2),"-")</f>
        <v>0</v>
      </c>
      <c r="K242" s="296">
        <f>IFERROR(ROUND(IF('Состав ВТК'!$K235=справочник!$A$5,IF(AND('Расчет участников НИР'!$A242='Состав ВТК'!$B235,$K$10='Состав ВТК'!$I235),$F242*$D242*VLOOKUP('Расчет участников НИР'!$B242,Расценка!$C$3:$E$13,3,FALSE),0),0),2),"-")</f>
        <v>0</v>
      </c>
      <c r="L242" s="297"/>
      <c r="M242" s="295">
        <f t="shared" si="40"/>
        <v>0</v>
      </c>
      <c r="N242" s="298">
        <f>IFERROR(ROUND(IF('Состав ВТК'!$K235=справочник!$A$5,(IF(AND($A242='Состав ВТК'!$B235,$N$10=$C242),$F242*$D242*VLOOKUP($B242,Расценка!$H$3:$K$9,4,FALSE),0)),0),2),"-")</f>
        <v>0</v>
      </c>
      <c r="O242" s="298">
        <f>IFERROR(ROUND(IF('Состав ВТК'!$K235=справочник!$A$5,(IF(AND($A242='Состав ВТК'!$B235,$O$10=$C242),$F242*$D242*VLOOKUP($B242,Расценка!$H$3:$K$9,4,FALSE),0)),0),2),"-")</f>
        <v>0</v>
      </c>
      <c r="P242" s="299">
        <f t="shared" si="41"/>
        <v>0</v>
      </c>
      <c r="Q242" s="300">
        <f t="shared" si="37"/>
        <v>0</v>
      </c>
      <c r="R242" s="300">
        <f t="shared" si="38"/>
        <v>0</v>
      </c>
      <c r="S242" s="295">
        <f t="shared" si="42"/>
        <v>0</v>
      </c>
      <c r="T242" s="298">
        <f>IFERROR(ROUND(IF(AND('Расчет участников НИР'!$A242='Состав ВТК'!$B235,'Расчет участников НИР'!$T$10='Состав ВТК'!$I235),$E242,0),2),"-")</f>
        <v>0</v>
      </c>
      <c r="U242" s="298">
        <f>IFERROR(ROUND(IF(AND('Расчет участников НИР'!$A242='Состав ВТК'!$B235,'Расчет участников НИР'!$U$10='Состав ВТК'!$I235),$E242,0),2),"-")</f>
        <v>0</v>
      </c>
      <c r="V242" s="298">
        <f>IFERROR(ROUND(IF(AND('Расчет участников НИР'!$A242='Состав ВТК'!$B235,'Расчет участников НИР'!$V$10='Состав ВТК'!$I235),$E242,0),2),"-")</f>
        <v>0</v>
      </c>
      <c r="W242" s="301" t="str">
        <f t="shared" si="43"/>
        <v>-</v>
      </c>
      <c r="X242" s="301" t="str">
        <f t="shared" si="44"/>
        <v>-</v>
      </c>
      <c r="Y242" s="301" t="str">
        <f t="shared" si="45"/>
        <v>-</v>
      </c>
    </row>
    <row r="243" spans="1:25" x14ac:dyDescent="0.25">
      <c r="A243" s="217">
        <f>'Состав ВТК'!B236</f>
        <v>0</v>
      </c>
      <c r="B243" s="290">
        <f>IFERROR(VLOOKUP($A243,Распределение!$B$13:$L$113,11,FALSE),"-")</f>
        <v>0</v>
      </c>
      <c r="C243" s="291" t="str">
        <f>IFERROR(IF(VLOOKUP($B243,Расценка!$H$3:$I$9,2,FALSE)="НС",Расценка!$T$11,Расценка!$T$12),"-")</f>
        <v>-</v>
      </c>
      <c r="D243" s="291">
        <f>IFERROR(INDEX(Распределение!$1:$1048576,MATCH($A243,Распределение!$B:$B,0),MATCH($D$8,Распределение!$9:$9,0)),"---")</f>
        <v>0</v>
      </c>
      <c r="E243" s="292">
        <f>IFERROR(SUMIFS('Трудозатраты членов ВТК'!$G$17:$G$117,'Трудозатраты членов ВТК'!$D$17:$D$117,A:A),"-")</f>
        <v>0</v>
      </c>
      <c r="F243" s="293">
        <f>IFERROR(SUMIFS('Трудозатраты членов ВТК'!$F$464:$F$713,'Трудозатраты членов ВТК'!$D$464:$D$713,A:A),"-")</f>
        <v>0</v>
      </c>
      <c r="G243" s="302"/>
      <c r="H243" s="295">
        <f t="shared" si="39"/>
        <v>0</v>
      </c>
      <c r="I243" s="296">
        <f>IFERROR(ROUND(IF('Состав ВТК'!$K236=справочник!$A$5,IF(AND('Расчет участников НИР'!$A243='Состав ВТК'!$B236,$I$10='Состав ВТК'!$I236),$F243*$D243*VLOOKUP('Расчет участников НИР'!$B243,Расценка!$C$3:$E$13,3,FALSE),0),0),2),"-")</f>
        <v>0</v>
      </c>
      <c r="J243" s="296">
        <f>IFERROR(ROUND(IF('Состав ВТК'!$K236=справочник!$A$5,IF(AND('Расчет участников НИР'!$A243='Состав ВТК'!$B236,$J$10='Состав ВТК'!$I236),$F243*$D243*VLOOKUP('Расчет участников НИР'!$B243,Расценка!$C$3:$E$13,3,FALSE),0),0),2),"-")</f>
        <v>0</v>
      </c>
      <c r="K243" s="296">
        <f>IFERROR(ROUND(IF('Состав ВТК'!$K236=справочник!$A$5,IF(AND('Расчет участников НИР'!$A243='Состав ВТК'!$B236,$K$10='Состав ВТК'!$I236),$F243*$D243*VLOOKUP('Расчет участников НИР'!$B243,Расценка!$C$3:$E$13,3,FALSE),0),0),2),"-")</f>
        <v>0</v>
      </c>
      <c r="L243" s="297"/>
      <c r="M243" s="295">
        <f t="shared" si="40"/>
        <v>0</v>
      </c>
      <c r="N243" s="298">
        <f>IFERROR(ROUND(IF('Состав ВТК'!$K236=справочник!$A$5,(IF(AND($A243='Состав ВТК'!$B236,$N$10=$C243),$F243*$D243*VLOOKUP($B243,Расценка!$H$3:$K$9,4,FALSE),0)),0),2),"-")</f>
        <v>0</v>
      </c>
      <c r="O243" s="298">
        <f>IFERROR(ROUND(IF('Состав ВТК'!$K236=справочник!$A$5,(IF(AND($A243='Состав ВТК'!$B236,$O$10=$C243),$F243*$D243*VLOOKUP($B243,Расценка!$H$3:$K$9,4,FALSE),0)),0),2),"-")</f>
        <v>0</v>
      </c>
      <c r="P243" s="299">
        <f t="shared" si="41"/>
        <v>0</v>
      </c>
      <c r="Q243" s="300">
        <f t="shared" si="37"/>
        <v>0</v>
      </c>
      <c r="R243" s="300">
        <f t="shared" si="38"/>
        <v>0</v>
      </c>
      <c r="S243" s="295">
        <f t="shared" si="42"/>
        <v>0</v>
      </c>
      <c r="T243" s="298">
        <f>IFERROR(ROUND(IF(AND('Расчет участников НИР'!$A243='Состав ВТК'!$B236,'Расчет участников НИР'!$T$10='Состав ВТК'!$I236),$E243,0),2),"-")</f>
        <v>0</v>
      </c>
      <c r="U243" s="298">
        <f>IFERROR(ROUND(IF(AND('Расчет участников НИР'!$A243='Состав ВТК'!$B236,'Расчет участников НИР'!$U$10='Состав ВТК'!$I236),$E243,0),2),"-")</f>
        <v>0</v>
      </c>
      <c r="V243" s="298">
        <f>IFERROR(ROUND(IF(AND('Расчет участников НИР'!$A243='Состав ВТК'!$B236,'Расчет участников НИР'!$V$10='Состав ВТК'!$I236),$E243,0),2),"-")</f>
        <v>0</v>
      </c>
      <c r="W243" s="301" t="str">
        <f t="shared" si="43"/>
        <v>-</v>
      </c>
      <c r="X243" s="301" t="str">
        <f t="shared" si="44"/>
        <v>-</v>
      </c>
      <c r="Y243" s="301" t="str">
        <f t="shared" si="45"/>
        <v>-</v>
      </c>
    </row>
    <row r="244" spans="1:25" x14ac:dyDescent="0.25">
      <c r="A244" s="217">
        <f>'Состав ВТК'!B237</f>
        <v>0</v>
      </c>
      <c r="B244" s="290">
        <f>IFERROR(VLOOKUP($A244,Распределение!$B$13:$L$113,11,FALSE),"-")</f>
        <v>0</v>
      </c>
      <c r="C244" s="291" t="str">
        <f>IFERROR(IF(VLOOKUP($B244,Расценка!$H$3:$I$9,2,FALSE)="НС",Расценка!$T$11,Расценка!$T$12),"-")</f>
        <v>-</v>
      </c>
      <c r="D244" s="291">
        <f>IFERROR(INDEX(Распределение!$1:$1048576,MATCH($A244,Распределение!$B:$B,0),MATCH($D$8,Распределение!$9:$9,0)),"---")</f>
        <v>0</v>
      </c>
      <c r="E244" s="292">
        <f>IFERROR(SUMIFS('Трудозатраты членов ВТК'!$G$17:$G$117,'Трудозатраты членов ВТК'!$D$17:$D$117,A:A),"-")</f>
        <v>0</v>
      </c>
      <c r="F244" s="293">
        <f>IFERROR(SUMIFS('Трудозатраты членов ВТК'!$F$464:$F$713,'Трудозатраты членов ВТК'!$D$464:$D$713,A:A),"-")</f>
        <v>0</v>
      </c>
      <c r="G244" s="302"/>
      <c r="H244" s="295">
        <f t="shared" si="39"/>
        <v>0</v>
      </c>
      <c r="I244" s="296">
        <f>IFERROR(ROUND(IF('Состав ВТК'!$K237=справочник!$A$5,IF(AND('Расчет участников НИР'!$A244='Состав ВТК'!$B237,$I$10='Состав ВТК'!$I237),$F244*$D244*VLOOKUP('Расчет участников НИР'!$B244,Расценка!$C$3:$E$13,3,FALSE),0),0),2),"-")</f>
        <v>0</v>
      </c>
      <c r="J244" s="296">
        <f>IFERROR(ROUND(IF('Состав ВТК'!$K237=справочник!$A$5,IF(AND('Расчет участников НИР'!$A244='Состав ВТК'!$B237,$J$10='Состав ВТК'!$I237),$F244*$D244*VLOOKUP('Расчет участников НИР'!$B244,Расценка!$C$3:$E$13,3,FALSE),0),0),2),"-")</f>
        <v>0</v>
      </c>
      <c r="K244" s="296">
        <f>IFERROR(ROUND(IF('Состав ВТК'!$K237=справочник!$A$5,IF(AND('Расчет участников НИР'!$A244='Состав ВТК'!$B237,$K$10='Состав ВТК'!$I237),$F244*$D244*VLOOKUP('Расчет участников НИР'!$B244,Расценка!$C$3:$E$13,3,FALSE),0),0),2),"-")</f>
        <v>0</v>
      </c>
      <c r="L244" s="297"/>
      <c r="M244" s="295">
        <f t="shared" si="40"/>
        <v>0</v>
      </c>
      <c r="N244" s="298">
        <f>IFERROR(ROUND(IF('Состав ВТК'!$K237=справочник!$A$5,(IF(AND($A244='Состав ВТК'!$B237,$N$10=$C244),$F244*$D244*VLOOKUP($B244,Расценка!$H$3:$K$9,4,FALSE),0)),0),2),"-")</f>
        <v>0</v>
      </c>
      <c r="O244" s="298">
        <f>IFERROR(ROUND(IF('Состав ВТК'!$K237=справочник!$A$5,(IF(AND($A244='Состав ВТК'!$B237,$O$10=$C244),$F244*$D244*VLOOKUP($B244,Расценка!$H$3:$K$9,4,FALSE),0)),0),2),"-")</f>
        <v>0</v>
      </c>
      <c r="P244" s="299">
        <f t="shared" si="41"/>
        <v>0</v>
      </c>
      <c r="Q244" s="300">
        <f t="shared" si="37"/>
        <v>0</v>
      </c>
      <c r="R244" s="300">
        <f t="shared" si="38"/>
        <v>0</v>
      </c>
      <c r="S244" s="295">
        <f t="shared" si="42"/>
        <v>0</v>
      </c>
      <c r="T244" s="298">
        <f>IFERROR(ROUND(IF(AND('Расчет участников НИР'!$A244='Состав ВТК'!$B237,'Расчет участников НИР'!$T$10='Состав ВТК'!$I237),$E244,0),2),"-")</f>
        <v>0</v>
      </c>
      <c r="U244" s="298">
        <f>IFERROR(ROUND(IF(AND('Расчет участников НИР'!$A244='Состав ВТК'!$B237,'Расчет участников НИР'!$U$10='Состав ВТК'!$I237),$E244,0),2),"-")</f>
        <v>0</v>
      </c>
      <c r="V244" s="298">
        <f>IFERROR(ROUND(IF(AND('Расчет участников НИР'!$A244='Состав ВТК'!$B237,'Расчет участников НИР'!$V$10='Состав ВТК'!$I237),$E244,0),2),"-")</f>
        <v>0</v>
      </c>
      <c r="W244" s="301" t="str">
        <f t="shared" si="43"/>
        <v>-</v>
      </c>
      <c r="X244" s="301" t="str">
        <f t="shared" si="44"/>
        <v>-</v>
      </c>
      <c r="Y244" s="301" t="str">
        <f t="shared" si="45"/>
        <v>-</v>
      </c>
    </row>
    <row r="245" spans="1:25" x14ac:dyDescent="0.25">
      <c r="A245" s="217">
        <f>'Состав ВТК'!B238</f>
        <v>0</v>
      </c>
      <c r="B245" s="290">
        <f>IFERROR(VLOOKUP($A245,Распределение!$B$13:$L$113,11,FALSE),"-")</f>
        <v>0</v>
      </c>
      <c r="C245" s="291" t="str">
        <f>IFERROR(IF(VLOOKUP($B245,Расценка!$H$3:$I$9,2,FALSE)="НС",Расценка!$T$11,Расценка!$T$12),"-")</f>
        <v>-</v>
      </c>
      <c r="D245" s="291">
        <f>IFERROR(INDEX(Распределение!$1:$1048576,MATCH($A245,Распределение!$B:$B,0),MATCH($D$8,Распределение!$9:$9,0)),"---")</f>
        <v>0</v>
      </c>
      <c r="E245" s="292">
        <f>IFERROR(SUMIFS('Трудозатраты членов ВТК'!$G$17:$G$117,'Трудозатраты членов ВТК'!$D$17:$D$117,A:A),"-")</f>
        <v>0</v>
      </c>
      <c r="F245" s="293">
        <f>IFERROR(SUMIFS('Трудозатраты членов ВТК'!$F$464:$F$713,'Трудозатраты членов ВТК'!$D$464:$D$713,A:A),"-")</f>
        <v>0</v>
      </c>
      <c r="G245" s="302"/>
      <c r="H245" s="295">
        <f t="shared" si="39"/>
        <v>0</v>
      </c>
      <c r="I245" s="296">
        <f>IFERROR(ROUND(IF('Состав ВТК'!$K238=справочник!$A$5,IF(AND('Расчет участников НИР'!$A245='Состав ВТК'!$B238,$I$10='Состав ВТК'!$I238),$F245*$D245*VLOOKUP('Расчет участников НИР'!$B245,Расценка!$C$3:$E$13,3,FALSE),0),0),2),"-")</f>
        <v>0</v>
      </c>
      <c r="J245" s="296">
        <f>IFERROR(ROUND(IF('Состав ВТК'!$K238=справочник!$A$5,IF(AND('Расчет участников НИР'!$A245='Состав ВТК'!$B238,$J$10='Состав ВТК'!$I238),$F245*$D245*VLOOKUP('Расчет участников НИР'!$B245,Расценка!$C$3:$E$13,3,FALSE),0),0),2),"-")</f>
        <v>0</v>
      </c>
      <c r="K245" s="296">
        <f>IFERROR(ROUND(IF('Состав ВТК'!$K238=справочник!$A$5,IF(AND('Расчет участников НИР'!$A245='Состав ВТК'!$B238,$K$10='Состав ВТК'!$I238),$F245*$D245*VLOOKUP('Расчет участников НИР'!$B245,Расценка!$C$3:$E$13,3,FALSE),0),0),2),"-")</f>
        <v>0</v>
      </c>
      <c r="L245" s="297"/>
      <c r="M245" s="295">
        <f t="shared" si="40"/>
        <v>0</v>
      </c>
      <c r="N245" s="298">
        <f>IFERROR(ROUND(IF('Состав ВТК'!$K238=справочник!$A$5,(IF(AND($A245='Состав ВТК'!$B238,$N$10=$C245),$F245*$D245*VLOOKUP($B245,Расценка!$H$3:$K$9,4,FALSE),0)),0),2),"-")</f>
        <v>0</v>
      </c>
      <c r="O245" s="298">
        <f>IFERROR(ROUND(IF('Состав ВТК'!$K238=справочник!$A$5,(IF(AND($A245='Состав ВТК'!$B238,$O$10=$C245),$F245*$D245*VLOOKUP($B245,Расценка!$H$3:$K$9,4,FALSE),0)),0),2),"-")</f>
        <v>0</v>
      </c>
      <c r="P245" s="299">
        <f t="shared" si="41"/>
        <v>0</v>
      </c>
      <c r="Q245" s="300">
        <f t="shared" si="37"/>
        <v>0</v>
      </c>
      <c r="R245" s="300">
        <f t="shared" si="38"/>
        <v>0</v>
      </c>
      <c r="S245" s="295">
        <f t="shared" si="42"/>
        <v>0</v>
      </c>
      <c r="T245" s="298">
        <f>IFERROR(ROUND(IF(AND('Расчет участников НИР'!$A245='Состав ВТК'!$B238,'Расчет участников НИР'!$T$10='Состав ВТК'!$I238),$E245,0),2),"-")</f>
        <v>0</v>
      </c>
      <c r="U245" s="298">
        <f>IFERROR(ROUND(IF(AND('Расчет участников НИР'!$A245='Состав ВТК'!$B238,'Расчет участников НИР'!$U$10='Состав ВТК'!$I238),$E245,0),2),"-")</f>
        <v>0</v>
      </c>
      <c r="V245" s="298">
        <f>IFERROR(ROUND(IF(AND('Расчет участников НИР'!$A245='Состав ВТК'!$B238,'Расчет участников НИР'!$V$10='Состав ВТК'!$I238),$E245,0),2),"-")</f>
        <v>0</v>
      </c>
      <c r="W245" s="301" t="str">
        <f t="shared" si="43"/>
        <v>-</v>
      </c>
      <c r="X245" s="301" t="str">
        <f t="shared" si="44"/>
        <v>-</v>
      </c>
      <c r="Y245" s="301" t="str">
        <f t="shared" si="45"/>
        <v>-</v>
      </c>
    </row>
    <row r="246" spans="1:25" x14ac:dyDescent="0.25">
      <c r="A246" s="217">
        <f>'Состав ВТК'!B239</f>
        <v>0</v>
      </c>
      <c r="B246" s="290">
        <f>IFERROR(VLOOKUP($A246,Распределение!$B$13:$L$113,11,FALSE),"-")</f>
        <v>0</v>
      </c>
      <c r="C246" s="291" t="str">
        <f>IFERROR(IF(VLOOKUP($B246,Расценка!$H$3:$I$9,2,FALSE)="НС",Расценка!$T$11,Расценка!$T$12),"-")</f>
        <v>-</v>
      </c>
      <c r="D246" s="291">
        <f>IFERROR(INDEX(Распределение!$1:$1048576,MATCH($A246,Распределение!$B:$B,0),MATCH($D$8,Распределение!$9:$9,0)),"---")</f>
        <v>0</v>
      </c>
      <c r="E246" s="292">
        <f>IFERROR(SUMIFS('Трудозатраты членов ВТК'!$G$17:$G$117,'Трудозатраты членов ВТК'!$D$17:$D$117,A:A),"-")</f>
        <v>0</v>
      </c>
      <c r="F246" s="293">
        <f>IFERROR(SUMIFS('Трудозатраты членов ВТК'!$F$464:$F$713,'Трудозатраты членов ВТК'!$D$464:$D$713,A:A),"-")</f>
        <v>0</v>
      </c>
      <c r="G246" s="302"/>
      <c r="H246" s="295">
        <f t="shared" si="39"/>
        <v>0</v>
      </c>
      <c r="I246" s="296">
        <f>IFERROR(ROUND(IF('Состав ВТК'!$K239=справочник!$A$5,IF(AND('Расчет участников НИР'!$A246='Состав ВТК'!$B239,$I$10='Состав ВТК'!$I239),$F246*$D246*VLOOKUP('Расчет участников НИР'!$B246,Расценка!$C$3:$E$13,3,FALSE),0),0),2),"-")</f>
        <v>0</v>
      </c>
      <c r="J246" s="296">
        <f>IFERROR(ROUND(IF('Состав ВТК'!$K239=справочник!$A$5,IF(AND('Расчет участников НИР'!$A246='Состав ВТК'!$B239,$J$10='Состав ВТК'!$I239),$F246*$D246*VLOOKUP('Расчет участников НИР'!$B246,Расценка!$C$3:$E$13,3,FALSE),0),0),2),"-")</f>
        <v>0</v>
      </c>
      <c r="K246" s="296">
        <f>IFERROR(ROUND(IF('Состав ВТК'!$K239=справочник!$A$5,IF(AND('Расчет участников НИР'!$A246='Состав ВТК'!$B239,$K$10='Состав ВТК'!$I239),$F246*$D246*VLOOKUP('Расчет участников НИР'!$B246,Расценка!$C$3:$E$13,3,FALSE),0),0),2),"-")</f>
        <v>0</v>
      </c>
      <c r="L246" s="297"/>
      <c r="M246" s="295">
        <f t="shared" si="40"/>
        <v>0</v>
      </c>
      <c r="N246" s="298">
        <f>IFERROR(ROUND(IF('Состав ВТК'!$K239=справочник!$A$5,(IF(AND($A246='Состав ВТК'!$B239,$N$10=$C246),$F246*$D246*VLOOKUP($B246,Расценка!$H$3:$K$9,4,FALSE),0)),0),2),"-")</f>
        <v>0</v>
      </c>
      <c r="O246" s="298">
        <f>IFERROR(ROUND(IF('Состав ВТК'!$K239=справочник!$A$5,(IF(AND($A246='Состав ВТК'!$B239,$O$10=$C246),$F246*$D246*VLOOKUP($B246,Расценка!$H$3:$K$9,4,FALSE),0)),0),2),"-")</f>
        <v>0</v>
      </c>
      <c r="P246" s="299">
        <f t="shared" si="41"/>
        <v>0</v>
      </c>
      <c r="Q246" s="300">
        <f t="shared" si="37"/>
        <v>0</v>
      </c>
      <c r="R246" s="300">
        <f t="shared" si="38"/>
        <v>0</v>
      </c>
      <c r="S246" s="295">
        <f t="shared" si="42"/>
        <v>0</v>
      </c>
      <c r="T246" s="298">
        <f>IFERROR(ROUND(IF(AND('Расчет участников НИР'!$A246='Состав ВТК'!$B239,'Расчет участников НИР'!$T$10='Состав ВТК'!$I239),$E246,0),2),"-")</f>
        <v>0</v>
      </c>
      <c r="U246" s="298">
        <f>IFERROR(ROUND(IF(AND('Расчет участников НИР'!$A246='Состав ВТК'!$B239,'Расчет участников НИР'!$U$10='Состав ВТК'!$I239),$E246,0),2),"-")</f>
        <v>0</v>
      </c>
      <c r="V246" s="298">
        <f>IFERROR(ROUND(IF(AND('Расчет участников НИР'!$A246='Состав ВТК'!$B239,'Расчет участников НИР'!$V$10='Состав ВТК'!$I239),$E246,0),2),"-")</f>
        <v>0</v>
      </c>
      <c r="W246" s="301" t="str">
        <f t="shared" si="43"/>
        <v>-</v>
      </c>
      <c r="X246" s="301" t="str">
        <f t="shared" si="44"/>
        <v>-</v>
      </c>
      <c r="Y246" s="301" t="str">
        <f t="shared" si="45"/>
        <v>-</v>
      </c>
    </row>
    <row r="247" spans="1:25" x14ac:dyDescent="0.25">
      <c r="A247" s="217">
        <f>'Состав ВТК'!B240</f>
        <v>0</v>
      </c>
      <c r="B247" s="290">
        <f>IFERROR(VLOOKUP($A247,Распределение!$B$13:$L$113,11,FALSE),"-")</f>
        <v>0</v>
      </c>
      <c r="C247" s="291" t="str">
        <f>IFERROR(IF(VLOOKUP($B247,Расценка!$H$3:$I$9,2,FALSE)="НС",Расценка!$T$11,Расценка!$T$12),"-")</f>
        <v>-</v>
      </c>
      <c r="D247" s="291">
        <f>IFERROR(INDEX(Распределение!$1:$1048576,MATCH($A247,Распределение!$B:$B,0),MATCH($D$8,Распределение!$9:$9,0)),"---")</f>
        <v>0</v>
      </c>
      <c r="E247" s="292">
        <f>IFERROR(SUMIFS('Трудозатраты членов ВТК'!$G$17:$G$117,'Трудозатраты членов ВТК'!$D$17:$D$117,A:A),"-")</f>
        <v>0</v>
      </c>
      <c r="F247" s="293">
        <f>IFERROR(SUMIFS('Трудозатраты членов ВТК'!$F$464:$F$713,'Трудозатраты членов ВТК'!$D$464:$D$713,A:A),"-")</f>
        <v>0</v>
      </c>
      <c r="G247" s="302"/>
      <c r="H247" s="295">
        <f t="shared" si="39"/>
        <v>0</v>
      </c>
      <c r="I247" s="296">
        <f>IFERROR(ROUND(IF('Состав ВТК'!$K240=справочник!$A$5,IF(AND('Расчет участников НИР'!$A247='Состав ВТК'!$B240,$I$10='Состав ВТК'!$I240),$F247*$D247*VLOOKUP('Расчет участников НИР'!$B247,Расценка!$C$3:$E$13,3,FALSE),0),0),2),"-")</f>
        <v>0</v>
      </c>
      <c r="J247" s="296">
        <f>IFERROR(ROUND(IF('Состав ВТК'!$K240=справочник!$A$5,IF(AND('Расчет участников НИР'!$A247='Состав ВТК'!$B240,$J$10='Состав ВТК'!$I240),$F247*$D247*VLOOKUP('Расчет участников НИР'!$B247,Расценка!$C$3:$E$13,3,FALSE),0),0),2),"-")</f>
        <v>0</v>
      </c>
      <c r="K247" s="296">
        <f>IFERROR(ROUND(IF('Состав ВТК'!$K240=справочник!$A$5,IF(AND('Расчет участников НИР'!$A247='Состав ВТК'!$B240,$K$10='Состав ВТК'!$I240),$F247*$D247*VLOOKUP('Расчет участников НИР'!$B247,Расценка!$C$3:$E$13,3,FALSE),0),0),2),"-")</f>
        <v>0</v>
      </c>
      <c r="L247" s="297"/>
      <c r="M247" s="295">
        <f t="shared" si="40"/>
        <v>0</v>
      </c>
      <c r="N247" s="298">
        <f>IFERROR(ROUND(IF('Состав ВТК'!$K240=справочник!$A$5,(IF(AND($A247='Состав ВТК'!$B240,$N$10=$C247),$F247*$D247*VLOOKUP($B247,Расценка!$H$3:$K$9,4,FALSE),0)),0),2),"-")</f>
        <v>0</v>
      </c>
      <c r="O247" s="298">
        <f>IFERROR(ROUND(IF('Состав ВТК'!$K240=справочник!$A$5,(IF(AND($A247='Состав ВТК'!$B240,$O$10=$C247),$F247*$D247*VLOOKUP($B247,Расценка!$H$3:$K$9,4,FALSE),0)),0),2),"-")</f>
        <v>0</v>
      </c>
      <c r="P247" s="299">
        <f t="shared" si="41"/>
        <v>0</v>
      </c>
      <c r="Q247" s="300">
        <f t="shared" si="37"/>
        <v>0</v>
      </c>
      <c r="R247" s="300">
        <f t="shared" si="38"/>
        <v>0</v>
      </c>
      <c r="S247" s="295">
        <f t="shared" si="42"/>
        <v>0</v>
      </c>
      <c r="T247" s="298">
        <f>IFERROR(ROUND(IF(AND('Расчет участников НИР'!$A247='Состав ВТК'!$B240,'Расчет участников НИР'!$T$10='Состав ВТК'!$I240),$E247,0),2),"-")</f>
        <v>0</v>
      </c>
      <c r="U247" s="298">
        <f>IFERROR(ROUND(IF(AND('Расчет участников НИР'!$A247='Состав ВТК'!$B240,'Расчет участников НИР'!$U$10='Состав ВТК'!$I240),$E247,0),2),"-")</f>
        <v>0</v>
      </c>
      <c r="V247" s="298">
        <f>IFERROR(ROUND(IF(AND('Расчет участников НИР'!$A247='Состав ВТК'!$B240,'Расчет участников НИР'!$V$10='Состав ВТК'!$I240),$E247,0),2),"-")</f>
        <v>0</v>
      </c>
      <c r="W247" s="301" t="str">
        <f t="shared" si="43"/>
        <v>-</v>
      </c>
      <c r="X247" s="301" t="str">
        <f t="shared" si="44"/>
        <v>-</v>
      </c>
      <c r="Y247" s="301" t="str">
        <f t="shared" si="45"/>
        <v>-</v>
      </c>
    </row>
    <row r="248" spans="1:25" x14ac:dyDescent="0.25">
      <c r="A248" s="217">
        <f>'Состав ВТК'!B241</f>
        <v>0</v>
      </c>
      <c r="B248" s="290">
        <f>IFERROR(VLOOKUP($A248,Распределение!$B$13:$L$113,11,FALSE),"-")</f>
        <v>0</v>
      </c>
      <c r="C248" s="291" t="str">
        <f>IFERROR(IF(VLOOKUP($B248,Расценка!$H$3:$I$9,2,FALSE)="НС",Расценка!$T$11,Расценка!$T$12),"-")</f>
        <v>-</v>
      </c>
      <c r="D248" s="291">
        <f>IFERROR(INDEX(Распределение!$1:$1048576,MATCH($A248,Распределение!$B:$B,0),MATCH($D$8,Распределение!$9:$9,0)),"---")</f>
        <v>0</v>
      </c>
      <c r="E248" s="292">
        <f>IFERROR(SUMIFS('Трудозатраты членов ВТК'!$G$17:$G$117,'Трудозатраты членов ВТК'!$D$17:$D$117,A:A),"-")</f>
        <v>0</v>
      </c>
      <c r="F248" s="293">
        <f>IFERROR(SUMIFS('Трудозатраты членов ВТК'!$F$464:$F$713,'Трудозатраты членов ВТК'!$D$464:$D$713,A:A),"-")</f>
        <v>0</v>
      </c>
      <c r="G248" s="302"/>
      <c r="H248" s="295">
        <f t="shared" si="39"/>
        <v>0</v>
      </c>
      <c r="I248" s="296">
        <f>IFERROR(ROUND(IF('Состав ВТК'!$K241=справочник!$A$5,IF(AND('Расчет участников НИР'!$A248='Состав ВТК'!$B241,$I$10='Состав ВТК'!$I241),$F248*$D248*VLOOKUP('Расчет участников НИР'!$B248,Расценка!$C$3:$E$13,3,FALSE),0),0),2),"-")</f>
        <v>0</v>
      </c>
      <c r="J248" s="296">
        <f>IFERROR(ROUND(IF('Состав ВТК'!$K241=справочник!$A$5,IF(AND('Расчет участников НИР'!$A248='Состав ВТК'!$B241,$J$10='Состав ВТК'!$I241),$F248*$D248*VLOOKUP('Расчет участников НИР'!$B248,Расценка!$C$3:$E$13,3,FALSE),0),0),2),"-")</f>
        <v>0</v>
      </c>
      <c r="K248" s="296">
        <f>IFERROR(ROUND(IF('Состав ВТК'!$K241=справочник!$A$5,IF(AND('Расчет участников НИР'!$A248='Состав ВТК'!$B241,$K$10='Состав ВТК'!$I241),$F248*$D248*VLOOKUP('Расчет участников НИР'!$B248,Расценка!$C$3:$E$13,3,FALSE),0),0),2),"-")</f>
        <v>0</v>
      </c>
      <c r="L248" s="297"/>
      <c r="M248" s="295">
        <f t="shared" si="40"/>
        <v>0</v>
      </c>
      <c r="N248" s="298">
        <f>IFERROR(ROUND(IF('Состав ВТК'!$K241=справочник!$A$5,(IF(AND($A248='Состав ВТК'!$B241,$N$10=$C248),$F248*$D248*VLOOKUP($B248,Расценка!$H$3:$K$9,4,FALSE),0)),0),2),"-")</f>
        <v>0</v>
      </c>
      <c r="O248" s="298">
        <f>IFERROR(ROUND(IF('Состав ВТК'!$K241=справочник!$A$5,(IF(AND($A248='Состав ВТК'!$B241,$O$10=$C248),$F248*$D248*VLOOKUP($B248,Расценка!$H$3:$K$9,4,FALSE),0)),0),2),"-")</f>
        <v>0</v>
      </c>
      <c r="P248" s="299">
        <f t="shared" si="41"/>
        <v>0</v>
      </c>
      <c r="Q248" s="300">
        <f t="shared" si="37"/>
        <v>0</v>
      </c>
      <c r="R248" s="300">
        <f t="shared" si="38"/>
        <v>0</v>
      </c>
      <c r="S248" s="295">
        <f t="shared" si="42"/>
        <v>0</v>
      </c>
      <c r="T248" s="298">
        <f>IFERROR(ROUND(IF(AND('Расчет участников НИР'!$A248='Состав ВТК'!$B241,'Расчет участников НИР'!$T$10='Состав ВТК'!$I241),$E248,0),2),"-")</f>
        <v>0</v>
      </c>
      <c r="U248" s="298">
        <f>IFERROR(ROUND(IF(AND('Расчет участников НИР'!$A248='Состав ВТК'!$B241,'Расчет участников НИР'!$U$10='Состав ВТК'!$I241),$E248,0),2),"-")</f>
        <v>0</v>
      </c>
      <c r="V248" s="298">
        <f>IFERROR(ROUND(IF(AND('Расчет участников НИР'!$A248='Состав ВТК'!$B241,'Расчет участников НИР'!$V$10='Состав ВТК'!$I241),$E248,0),2),"-")</f>
        <v>0</v>
      </c>
      <c r="W248" s="301" t="str">
        <f t="shared" si="43"/>
        <v>-</v>
      </c>
      <c r="X248" s="301" t="str">
        <f t="shared" si="44"/>
        <v>-</v>
      </c>
      <c r="Y248" s="301" t="str">
        <f t="shared" si="45"/>
        <v>-</v>
      </c>
    </row>
    <row r="249" spans="1:25" x14ac:dyDescent="0.25">
      <c r="A249" s="217">
        <f>'Состав ВТК'!B242</f>
        <v>0</v>
      </c>
      <c r="B249" s="290">
        <f>IFERROR(VLOOKUP($A249,Распределение!$B$13:$L$113,11,FALSE),"-")</f>
        <v>0</v>
      </c>
      <c r="C249" s="291" t="str">
        <f>IFERROR(IF(VLOOKUP($B249,Расценка!$H$3:$I$9,2,FALSE)="НС",Расценка!$T$11,Расценка!$T$12),"-")</f>
        <v>-</v>
      </c>
      <c r="D249" s="291">
        <f>IFERROR(INDEX(Распределение!$1:$1048576,MATCH($A249,Распределение!$B:$B,0),MATCH($D$8,Распределение!$9:$9,0)),"---")</f>
        <v>0</v>
      </c>
      <c r="E249" s="292">
        <f>IFERROR(SUMIFS('Трудозатраты членов ВТК'!$G$17:$G$117,'Трудозатраты членов ВТК'!$D$17:$D$117,A:A),"-")</f>
        <v>0</v>
      </c>
      <c r="F249" s="293">
        <f>IFERROR(SUMIFS('Трудозатраты членов ВТК'!$F$464:$F$713,'Трудозатраты членов ВТК'!$D$464:$D$713,A:A),"-")</f>
        <v>0</v>
      </c>
      <c r="G249" s="302"/>
      <c r="H249" s="295">
        <f t="shared" si="39"/>
        <v>0</v>
      </c>
      <c r="I249" s="296">
        <f>IFERROR(ROUND(IF('Состав ВТК'!$K242=справочник!$A$5,IF(AND('Расчет участников НИР'!$A249='Состав ВТК'!$B242,$I$10='Состав ВТК'!$I242),$F249*$D249*VLOOKUP('Расчет участников НИР'!$B249,Расценка!$C$3:$E$13,3,FALSE),0),0),2),"-")</f>
        <v>0</v>
      </c>
      <c r="J249" s="296">
        <f>IFERROR(ROUND(IF('Состав ВТК'!$K242=справочник!$A$5,IF(AND('Расчет участников НИР'!$A249='Состав ВТК'!$B242,$J$10='Состав ВТК'!$I242),$F249*$D249*VLOOKUP('Расчет участников НИР'!$B249,Расценка!$C$3:$E$13,3,FALSE),0),0),2),"-")</f>
        <v>0</v>
      </c>
      <c r="K249" s="296">
        <f>IFERROR(ROUND(IF('Состав ВТК'!$K242=справочник!$A$5,IF(AND('Расчет участников НИР'!$A249='Состав ВТК'!$B242,$K$10='Состав ВТК'!$I242),$F249*$D249*VLOOKUP('Расчет участников НИР'!$B249,Расценка!$C$3:$E$13,3,FALSE),0),0),2),"-")</f>
        <v>0</v>
      </c>
      <c r="L249" s="297"/>
      <c r="M249" s="295">
        <f t="shared" si="40"/>
        <v>0</v>
      </c>
      <c r="N249" s="298">
        <f>IFERROR(ROUND(IF('Состав ВТК'!$K242=справочник!$A$5,(IF(AND($A249='Состав ВТК'!$B242,$N$10=$C249),$F249*$D249*VLOOKUP($B249,Расценка!$H$3:$K$9,4,FALSE),0)),0),2),"-")</f>
        <v>0</v>
      </c>
      <c r="O249" s="298">
        <f>IFERROR(ROUND(IF('Состав ВТК'!$K242=справочник!$A$5,(IF(AND($A249='Состав ВТК'!$B242,$O$10=$C249),$F249*$D249*VLOOKUP($B249,Расценка!$H$3:$K$9,4,FALSE),0)),0),2),"-")</f>
        <v>0</v>
      </c>
      <c r="P249" s="299">
        <f t="shared" si="41"/>
        <v>0</v>
      </c>
      <c r="Q249" s="300">
        <f t="shared" si="37"/>
        <v>0</v>
      </c>
      <c r="R249" s="300">
        <f t="shared" si="38"/>
        <v>0</v>
      </c>
      <c r="S249" s="295">
        <f t="shared" si="42"/>
        <v>0</v>
      </c>
      <c r="T249" s="298">
        <f>IFERROR(ROUND(IF(AND('Расчет участников НИР'!$A249='Состав ВТК'!$B242,'Расчет участников НИР'!$T$10='Состав ВТК'!$I242),$E249,0),2),"-")</f>
        <v>0</v>
      </c>
      <c r="U249" s="298">
        <f>IFERROR(ROUND(IF(AND('Расчет участников НИР'!$A249='Состав ВТК'!$B242,'Расчет участников НИР'!$U$10='Состав ВТК'!$I242),$E249,0),2),"-")</f>
        <v>0</v>
      </c>
      <c r="V249" s="298">
        <f>IFERROR(ROUND(IF(AND('Расчет участников НИР'!$A249='Состав ВТК'!$B242,'Расчет участников НИР'!$V$10='Состав ВТК'!$I242),$E249,0),2),"-")</f>
        <v>0</v>
      </c>
      <c r="W249" s="301" t="str">
        <f t="shared" si="43"/>
        <v>-</v>
      </c>
      <c r="X249" s="301" t="str">
        <f t="shared" si="44"/>
        <v>-</v>
      </c>
      <c r="Y249" s="301" t="str">
        <f t="shared" si="45"/>
        <v>-</v>
      </c>
    </row>
    <row r="250" spans="1:25" x14ac:dyDescent="0.25">
      <c r="A250" s="217">
        <f>'Состав ВТК'!B243</f>
        <v>0</v>
      </c>
      <c r="B250" s="290">
        <f>IFERROR(VLOOKUP($A250,Распределение!$B$13:$L$113,11,FALSE),"-")</f>
        <v>0</v>
      </c>
      <c r="C250" s="291" t="str">
        <f>IFERROR(IF(VLOOKUP($B250,Расценка!$H$3:$I$9,2,FALSE)="НС",Расценка!$T$11,Расценка!$T$12),"-")</f>
        <v>-</v>
      </c>
      <c r="D250" s="291">
        <f>IFERROR(INDEX(Распределение!$1:$1048576,MATCH($A250,Распределение!$B:$B,0),MATCH($D$8,Распределение!$9:$9,0)),"---")</f>
        <v>0</v>
      </c>
      <c r="E250" s="292">
        <f>IFERROR(SUMIFS('Трудозатраты членов ВТК'!$G$17:$G$117,'Трудозатраты членов ВТК'!$D$17:$D$117,A:A),"-")</f>
        <v>0</v>
      </c>
      <c r="F250" s="293">
        <f>IFERROR(SUMIFS('Трудозатраты членов ВТК'!$F$464:$F$713,'Трудозатраты членов ВТК'!$D$464:$D$713,A:A),"-")</f>
        <v>0</v>
      </c>
      <c r="G250" s="302"/>
      <c r="H250" s="295">
        <f t="shared" si="39"/>
        <v>0</v>
      </c>
      <c r="I250" s="296">
        <f>IFERROR(ROUND(IF('Состав ВТК'!$K243=справочник!$A$5,IF(AND('Расчет участников НИР'!$A250='Состав ВТК'!$B243,$I$10='Состав ВТК'!$I243),$F250*$D250*VLOOKUP('Расчет участников НИР'!$B250,Расценка!$C$3:$E$13,3,FALSE),0),0),2),"-")</f>
        <v>0</v>
      </c>
      <c r="J250" s="296">
        <f>IFERROR(ROUND(IF('Состав ВТК'!$K243=справочник!$A$5,IF(AND('Расчет участников НИР'!$A250='Состав ВТК'!$B243,$J$10='Состав ВТК'!$I243),$F250*$D250*VLOOKUP('Расчет участников НИР'!$B250,Расценка!$C$3:$E$13,3,FALSE),0),0),2),"-")</f>
        <v>0</v>
      </c>
      <c r="K250" s="296">
        <f>IFERROR(ROUND(IF('Состав ВТК'!$K243=справочник!$A$5,IF(AND('Расчет участников НИР'!$A250='Состав ВТК'!$B243,$K$10='Состав ВТК'!$I243),$F250*$D250*VLOOKUP('Расчет участников НИР'!$B250,Расценка!$C$3:$E$13,3,FALSE),0),0),2),"-")</f>
        <v>0</v>
      </c>
      <c r="L250" s="297"/>
      <c r="M250" s="295">
        <f t="shared" si="40"/>
        <v>0</v>
      </c>
      <c r="N250" s="298">
        <f>IFERROR(ROUND(IF('Состав ВТК'!$K243=справочник!$A$5,(IF(AND($A250='Состав ВТК'!$B243,$N$10=$C250),$F250*$D250*VLOOKUP($B250,Расценка!$H$3:$K$9,4,FALSE),0)),0),2),"-")</f>
        <v>0</v>
      </c>
      <c r="O250" s="298">
        <f>IFERROR(ROUND(IF('Состав ВТК'!$K243=справочник!$A$5,(IF(AND($A250='Состав ВТК'!$B243,$O$10=$C250),$F250*$D250*VLOOKUP($B250,Расценка!$H$3:$K$9,4,FALSE),0)),0),2),"-")</f>
        <v>0</v>
      </c>
      <c r="P250" s="299">
        <f t="shared" si="41"/>
        <v>0</v>
      </c>
      <c r="Q250" s="300">
        <f t="shared" si="37"/>
        <v>0</v>
      </c>
      <c r="R250" s="300">
        <f t="shared" si="38"/>
        <v>0</v>
      </c>
      <c r="S250" s="295">
        <f t="shared" si="42"/>
        <v>0</v>
      </c>
      <c r="T250" s="298">
        <f>IFERROR(ROUND(IF(AND('Расчет участников НИР'!$A250='Состав ВТК'!$B243,'Расчет участников НИР'!$T$10='Состав ВТК'!$I243),$E250,0),2),"-")</f>
        <v>0</v>
      </c>
      <c r="U250" s="298">
        <f>IFERROR(ROUND(IF(AND('Расчет участников НИР'!$A250='Состав ВТК'!$B243,'Расчет участников НИР'!$U$10='Состав ВТК'!$I243),$E250,0),2),"-")</f>
        <v>0</v>
      </c>
      <c r="V250" s="298">
        <f>IFERROR(ROUND(IF(AND('Расчет участников НИР'!$A250='Состав ВТК'!$B243,'Расчет участников НИР'!$V$10='Состав ВТК'!$I243),$E250,0),2),"-")</f>
        <v>0</v>
      </c>
      <c r="W250" s="301" t="str">
        <f t="shared" si="43"/>
        <v>-</v>
      </c>
      <c r="X250" s="301" t="str">
        <f t="shared" si="44"/>
        <v>-</v>
      </c>
      <c r="Y250" s="301" t="str">
        <f t="shared" si="45"/>
        <v>-</v>
      </c>
    </row>
    <row r="251" spans="1:25" x14ac:dyDescent="0.25">
      <c r="A251" s="217">
        <f>'Состав ВТК'!B244</f>
        <v>0</v>
      </c>
      <c r="B251" s="290">
        <f>IFERROR(VLOOKUP($A251,Распределение!$B$13:$L$113,11,FALSE),"-")</f>
        <v>0</v>
      </c>
      <c r="C251" s="291" t="str">
        <f>IFERROR(IF(VLOOKUP($B251,Расценка!$H$3:$I$9,2,FALSE)="НС",Расценка!$T$11,Расценка!$T$12),"-")</f>
        <v>-</v>
      </c>
      <c r="D251" s="291">
        <f>IFERROR(INDEX(Распределение!$1:$1048576,MATCH($A251,Распределение!$B:$B,0),MATCH($D$8,Распределение!$9:$9,0)),"---")</f>
        <v>0</v>
      </c>
      <c r="E251" s="292">
        <f>IFERROR(SUMIFS('Трудозатраты членов ВТК'!$G$17:$G$117,'Трудозатраты членов ВТК'!$D$17:$D$117,A:A),"-")</f>
        <v>0</v>
      </c>
      <c r="F251" s="293">
        <f>IFERROR(SUMIFS('Трудозатраты членов ВТК'!$F$464:$F$713,'Трудозатраты членов ВТК'!$D$464:$D$713,A:A),"-")</f>
        <v>0</v>
      </c>
      <c r="G251" s="302"/>
      <c r="H251" s="295">
        <f t="shared" si="39"/>
        <v>0</v>
      </c>
      <c r="I251" s="296">
        <f>IFERROR(ROUND(IF('Состав ВТК'!$K244=справочник!$A$5,IF(AND('Расчет участников НИР'!$A251='Состав ВТК'!$B244,$I$10='Состав ВТК'!$I244),$F251*$D251*VLOOKUP('Расчет участников НИР'!$B251,Расценка!$C$3:$E$13,3,FALSE),0),0),2),"-")</f>
        <v>0</v>
      </c>
      <c r="J251" s="296">
        <f>IFERROR(ROUND(IF('Состав ВТК'!$K244=справочник!$A$5,IF(AND('Расчет участников НИР'!$A251='Состав ВТК'!$B244,$J$10='Состав ВТК'!$I244),$F251*$D251*VLOOKUP('Расчет участников НИР'!$B251,Расценка!$C$3:$E$13,3,FALSE),0),0),2),"-")</f>
        <v>0</v>
      </c>
      <c r="K251" s="296">
        <f>IFERROR(ROUND(IF('Состав ВТК'!$K244=справочник!$A$5,IF(AND('Расчет участников НИР'!$A251='Состав ВТК'!$B244,$K$10='Состав ВТК'!$I244),$F251*$D251*VLOOKUP('Расчет участников НИР'!$B251,Расценка!$C$3:$E$13,3,FALSE),0),0),2),"-")</f>
        <v>0</v>
      </c>
      <c r="L251" s="297"/>
      <c r="M251" s="295">
        <f t="shared" si="40"/>
        <v>0</v>
      </c>
      <c r="N251" s="298">
        <f>IFERROR(ROUND(IF('Состав ВТК'!$K244=справочник!$A$5,(IF(AND($A251='Состав ВТК'!$B244,$N$10=$C251),$F251*$D251*VLOOKUP($B251,Расценка!$H$3:$K$9,4,FALSE),0)),0),2),"-")</f>
        <v>0</v>
      </c>
      <c r="O251" s="298">
        <f>IFERROR(ROUND(IF('Состав ВТК'!$K244=справочник!$A$5,(IF(AND($A251='Состав ВТК'!$B244,$O$10=$C251),$F251*$D251*VLOOKUP($B251,Расценка!$H$3:$K$9,4,FALSE),0)),0),2),"-")</f>
        <v>0</v>
      </c>
      <c r="P251" s="299">
        <f t="shared" si="41"/>
        <v>0</v>
      </c>
      <c r="Q251" s="300">
        <f t="shared" si="37"/>
        <v>0</v>
      </c>
      <c r="R251" s="300">
        <f t="shared" si="38"/>
        <v>0</v>
      </c>
      <c r="S251" s="295">
        <f t="shared" si="42"/>
        <v>0</v>
      </c>
      <c r="T251" s="298">
        <f>IFERROR(ROUND(IF(AND('Расчет участников НИР'!$A251='Состав ВТК'!$B244,'Расчет участников НИР'!$T$10='Состав ВТК'!$I244),$E251,0),2),"-")</f>
        <v>0</v>
      </c>
      <c r="U251" s="298">
        <f>IFERROR(ROUND(IF(AND('Расчет участников НИР'!$A251='Состав ВТК'!$B244,'Расчет участников НИР'!$U$10='Состав ВТК'!$I244),$E251,0),2),"-")</f>
        <v>0</v>
      </c>
      <c r="V251" s="298">
        <f>IFERROR(ROUND(IF(AND('Расчет участников НИР'!$A251='Состав ВТК'!$B244,'Расчет участников НИР'!$V$10='Состав ВТК'!$I244),$E251,0),2),"-")</f>
        <v>0</v>
      </c>
      <c r="W251" s="301" t="str">
        <f t="shared" si="43"/>
        <v>-</v>
      </c>
      <c r="X251" s="301" t="str">
        <f t="shared" si="44"/>
        <v>-</v>
      </c>
      <c r="Y251" s="301" t="str">
        <f t="shared" si="45"/>
        <v>-</v>
      </c>
    </row>
    <row r="252" spans="1:25" x14ac:dyDescent="0.25">
      <c r="A252" s="217">
        <f>'Состав ВТК'!B245</f>
        <v>0</v>
      </c>
      <c r="B252" s="290">
        <f>IFERROR(VLOOKUP($A252,Распределение!$B$13:$L$113,11,FALSE),"-")</f>
        <v>0</v>
      </c>
      <c r="C252" s="291" t="str">
        <f>IFERROR(IF(VLOOKUP($B252,Расценка!$H$3:$I$9,2,FALSE)="НС",Расценка!$T$11,Расценка!$T$12),"-")</f>
        <v>-</v>
      </c>
      <c r="D252" s="291">
        <f>IFERROR(INDEX(Распределение!$1:$1048576,MATCH($A252,Распределение!$B:$B,0),MATCH($D$8,Распределение!$9:$9,0)),"---")</f>
        <v>0</v>
      </c>
      <c r="E252" s="292">
        <f>IFERROR(SUMIFS('Трудозатраты членов ВТК'!$G$17:$G$117,'Трудозатраты членов ВТК'!$D$17:$D$117,A:A),"-")</f>
        <v>0</v>
      </c>
      <c r="F252" s="293">
        <f>IFERROR(SUMIFS('Трудозатраты членов ВТК'!$F$464:$F$713,'Трудозатраты членов ВТК'!$D$464:$D$713,A:A),"-")</f>
        <v>0</v>
      </c>
      <c r="G252" s="302"/>
      <c r="H252" s="295">
        <f t="shared" si="39"/>
        <v>0</v>
      </c>
      <c r="I252" s="296">
        <f>IFERROR(ROUND(IF('Состав ВТК'!$K245=справочник!$A$5,IF(AND('Расчет участников НИР'!$A252='Состав ВТК'!$B245,$I$10='Состав ВТК'!$I245),$F252*$D252*VLOOKUP('Расчет участников НИР'!$B252,Расценка!$C$3:$E$13,3,FALSE),0),0),2),"-")</f>
        <v>0</v>
      </c>
      <c r="J252" s="296">
        <f>IFERROR(ROUND(IF('Состав ВТК'!$K245=справочник!$A$5,IF(AND('Расчет участников НИР'!$A252='Состав ВТК'!$B245,$J$10='Состав ВТК'!$I245),$F252*$D252*VLOOKUP('Расчет участников НИР'!$B252,Расценка!$C$3:$E$13,3,FALSE),0),0),2),"-")</f>
        <v>0</v>
      </c>
      <c r="K252" s="296">
        <f>IFERROR(ROUND(IF('Состав ВТК'!$K245=справочник!$A$5,IF(AND('Расчет участников НИР'!$A252='Состав ВТК'!$B245,$K$10='Состав ВТК'!$I245),$F252*$D252*VLOOKUP('Расчет участников НИР'!$B252,Расценка!$C$3:$E$13,3,FALSE),0),0),2),"-")</f>
        <v>0</v>
      </c>
      <c r="L252" s="297"/>
      <c r="M252" s="295">
        <f t="shared" si="40"/>
        <v>0</v>
      </c>
      <c r="N252" s="298">
        <f>IFERROR(ROUND(IF('Состав ВТК'!$K245=справочник!$A$5,(IF(AND($A252='Состав ВТК'!$B245,$N$10=$C252),$F252*$D252*VLOOKUP($B252,Расценка!$H$3:$K$9,4,FALSE),0)),0),2),"-")</f>
        <v>0</v>
      </c>
      <c r="O252" s="298">
        <f>IFERROR(ROUND(IF('Состав ВТК'!$K245=справочник!$A$5,(IF(AND($A252='Состав ВТК'!$B245,$O$10=$C252),$F252*$D252*VLOOKUP($B252,Расценка!$H$3:$K$9,4,FALSE),0)),0),2),"-")</f>
        <v>0</v>
      </c>
      <c r="P252" s="299">
        <f t="shared" si="41"/>
        <v>0</v>
      </c>
      <c r="Q252" s="300">
        <f t="shared" si="37"/>
        <v>0</v>
      </c>
      <c r="R252" s="300">
        <f t="shared" si="38"/>
        <v>0</v>
      </c>
      <c r="S252" s="295">
        <f t="shared" si="42"/>
        <v>0</v>
      </c>
      <c r="T252" s="298">
        <f>IFERROR(ROUND(IF(AND('Расчет участников НИР'!$A252='Состав ВТК'!$B245,'Расчет участников НИР'!$T$10='Состав ВТК'!$I245),$E252,0),2),"-")</f>
        <v>0</v>
      </c>
      <c r="U252" s="298">
        <f>IFERROR(ROUND(IF(AND('Расчет участников НИР'!$A252='Состав ВТК'!$B245,'Расчет участников НИР'!$U$10='Состав ВТК'!$I245),$E252,0),2),"-")</f>
        <v>0</v>
      </c>
      <c r="V252" s="298">
        <f>IFERROR(ROUND(IF(AND('Расчет участников НИР'!$A252='Состав ВТК'!$B245,'Расчет участников НИР'!$V$10='Состав ВТК'!$I245),$E252,0),2),"-")</f>
        <v>0</v>
      </c>
      <c r="W252" s="301" t="str">
        <f t="shared" si="43"/>
        <v>-</v>
      </c>
      <c r="X252" s="301" t="str">
        <f t="shared" si="44"/>
        <v>-</v>
      </c>
      <c r="Y252" s="301" t="str">
        <f t="shared" si="45"/>
        <v>-</v>
      </c>
    </row>
    <row r="253" spans="1:25" x14ac:dyDescent="0.25">
      <c r="A253" s="217">
        <f>'Состав ВТК'!B246</f>
        <v>0</v>
      </c>
      <c r="B253" s="290">
        <f>IFERROR(VLOOKUP($A253,Распределение!$B$13:$L$113,11,FALSE),"-")</f>
        <v>0</v>
      </c>
      <c r="C253" s="291" t="str">
        <f>IFERROR(IF(VLOOKUP($B253,Расценка!$H$3:$I$9,2,FALSE)="НС",Расценка!$T$11,Расценка!$T$12),"-")</f>
        <v>-</v>
      </c>
      <c r="D253" s="291">
        <f>IFERROR(INDEX(Распределение!$1:$1048576,MATCH($A253,Распределение!$B:$B,0),MATCH($D$8,Распределение!$9:$9,0)),"---")</f>
        <v>0</v>
      </c>
      <c r="E253" s="292">
        <f>IFERROR(SUMIFS('Трудозатраты членов ВТК'!$G$17:$G$117,'Трудозатраты членов ВТК'!$D$17:$D$117,A:A),"-")</f>
        <v>0</v>
      </c>
      <c r="F253" s="293">
        <f>IFERROR(SUMIFS('Трудозатраты членов ВТК'!$F$464:$F$713,'Трудозатраты членов ВТК'!$D$464:$D$713,A:A),"-")</f>
        <v>0</v>
      </c>
      <c r="G253" s="302"/>
      <c r="H253" s="295">
        <f t="shared" si="39"/>
        <v>0</v>
      </c>
      <c r="I253" s="296">
        <f>IFERROR(ROUND(IF('Состав ВТК'!$K246=справочник!$A$5,IF(AND('Расчет участников НИР'!$A253='Состав ВТК'!$B246,$I$10='Состав ВТК'!$I246),$F253*$D253*VLOOKUP('Расчет участников НИР'!$B253,Расценка!$C$3:$E$13,3,FALSE),0),0),2),"-")</f>
        <v>0</v>
      </c>
      <c r="J253" s="296">
        <f>IFERROR(ROUND(IF('Состав ВТК'!$K246=справочник!$A$5,IF(AND('Расчет участников НИР'!$A253='Состав ВТК'!$B246,$J$10='Состав ВТК'!$I246),$F253*$D253*VLOOKUP('Расчет участников НИР'!$B253,Расценка!$C$3:$E$13,3,FALSE),0),0),2),"-")</f>
        <v>0</v>
      </c>
      <c r="K253" s="296">
        <f>IFERROR(ROUND(IF('Состав ВТК'!$K246=справочник!$A$5,IF(AND('Расчет участников НИР'!$A253='Состав ВТК'!$B246,$K$10='Состав ВТК'!$I246),$F253*$D253*VLOOKUP('Расчет участников НИР'!$B253,Расценка!$C$3:$E$13,3,FALSE),0),0),2),"-")</f>
        <v>0</v>
      </c>
      <c r="L253" s="297"/>
      <c r="M253" s="295">
        <f t="shared" si="40"/>
        <v>0</v>
      </c>
      <c r="N253" s="298">
        <f>IFERROR(ROUND(IF('Состав ВТК'!$K246=справочник!$A$5,(IF(AND($A253='Состав ВТК'!$B246,$N$10=$C253),$F253*$D253*VLOOKUP($B253,Расценка!$H$3:$K$9,4,FALSE),0)),0),2),"-")</f>
        <v>0</v>
      </c>
      <c r="O253" s="298">
        <f>IFERROR(ROUND(IF('Состав ВТК'!$K246=справочник!$A$5,(IF(AND($A253='Состав ВТК'!$B246,$O$10=$C253),$F253*$D253*VLOOKUP($B253,Расценка!$H$3:$K$9,4,FALSE),0)),0),2),"-")</f>
        <v>0</v>
      </c>
      <c r="P253" s="299">
        <f t="shared" si="41"/>
        <v>0</v>
      </c>
      <c r="Q253" s="300">
        <f t="shared" si="37"/>
        <v>0</v>
      </c>
      <c r="R253" s="300">
        <f t="shared" si="38"/>
        <v>0</v>
      </c>
      <c r="S253" s="295">
        <f t="shared" si="42"/>
        <v>0</v>
      </c>
      <c r="T253" s="298">
        <f>IFERROR(ROUND(IF(AND('Расчет участников НИР'!$A253='Состав ВТК'!$B246,'Расчет участников НИР'!$T$10='Состав ВТК'!$I246),$E253,0),2),"-")</f>
        <v>0</v>
      </c>
      <c r="U253" s="298">
        <f>IFERROR(ROUND(IF(AND('Расчет участников НИР'!$A253='Состав ВТК'!$B246,'Расчет участников НИР'!$U$10='Состав ВТК'!$I246),$E253,0),2),"-")</f>
        <v>0</v>
      </c>
      <c r="V253" s="298">
        <f>IFERROR(ROUND(IF(AND('Расчет участников НИР'!$A253='Состав ВТК'!$B246,'Расчет участников НИР'!$V$10='Состав ВТК'!$I246),$E253,0),2),"-")</f>
        <v>0</v>
      </c>
      <c r="W253" s="301" t="str">
        <f t="shared" si="43"/>
        <v>-</v>
      </c>
      <c r="X253" s="301" t="str">
        <f t="shared" si="44"/>
        <v>-</v>
      </c>
      <c r="Y253" s="301" t="str">
        <f t="shared" si="45"/>
        <v>-</v>
      </c>
    </row>
    <row r="254" spans="1:25" x14ac:dyDescent="0.25">
      <c r="A254" s="217">
        <f>'Состав ВТК'!B247</f>
        <v>0</v>
      </c>
      <c r="B254" s="290">
        <f>IFERROR(VLOOKUP($A254,Распределение!$B$13:$L$113,11,FALSE),"-")</f>
        <v>0</v>
      </c>
      <c r="C254" s="291" t="str">
        <f>IFERROR(IF(VLOOKUP($B254,Расценка!$H$3:$I$9,2,FALSE)="НС",Расценка!$T$11,Расценка!$T$12),"-")</f>
        <v>-</v>
      </c>
      <c r="D254" s="291">
        <f>IFERROR(INDEX(Распределение!$1:$1048576,MATCH($A254,Распределение!$B:$B,0),MATCH($D$8,Распределение!$9:$9,0)),"---")</f>
        <v>0</v>
      </c>
      <c r="E254" s="292">
        <f>IFERROR(SUMIFS('Трудозатраты членов ВТК'!$G$17:$G$117,'Трудозатраты членов ВТК'!$D$17:$D$117,A:A),"-")</f>
        <v>0</v>
      </c>
      <c r="F254" s="293">
        <f>IFERROR(SUMIFS('Трудозатраты членов ВТК'!$F$464:$F$713,'Трудозатраты членов ВТК'!$D$464:$D$713,A:A),"-")</f>
        <v>0</v>
      </c>
      <c r="G254" s="302"/>
      <c r="H254" s="295">
        <f t="shared" si="39"/>
        <v>0</v>
      </c>
      <c r="I254" s="296">
        <f>IFERROR(ROUND(IF('Состав ВТК'!$K247=справочник!$A$5,IF(AND('Расчет участников НИР'!$A254='Состав ВТК'!$B247,$I$10='Состав ВТК'!$I247),$F254*$D254*VLOOKUP('Расчет участников НИР'!$B254,Расценка!$C$3:$E$13,3,FALSE),0),0),2),"-")</f>
        <v>0</v>
      </c>
      <c r="J254" s="296">
        <f>IFERROR(ROUND(IF('Состав ВТК'!$K247=справочник!$A$5,IF(AND('Расчет участников НИР'!$A254='Состав ВТК'!$B247,$J$10='Состав ВТК'!$I247),$F254*$D254*VLOOKUP('Расчет участников НИР'!$B254,Расценка!$C$3:$E$13,3,FALSE),0),0),2),"-")</f>
        <v>0</v>
      </c>
      <c r="K254" s="296">
        <f>IFERROR(ROUND(IF('Состав ВТК'!$K247=справочник!$A$5,IF(AND('Расчет участников НИР'!$A254='Состав ВТК'!$B247,$K$10='Состав ВТК'!$I247),$F254*$D254*VLOOKUP('Расчет участников НИР'!$B254,Расценка!$C$3:$E$13,3,FALSE),0),0),2),"-")</f>
        <v>0</v>
      </c>
      <c r="L254" s="297"/>
      <c r="M254" s="295">
        <f t="shared" si="40"/>
        <v>0</v>
      </c>
      <c r="N254" s="298">
        <f>IFERROR(ROUND(IF('Состав ВТК'!$K247=справочник!$A$5,(IF(AND($A254='Состав ВТК'!$B247,$N$10=$C254),$F254*$D254*VLOOKUP($B254,Расценка!$H$3:$K$9,4,FALSE),0)),0),2),"-")</f>
        <v>0</v>
      </c>
      <c r="O254" s="298">
        <f>IFERROR(ROUND(IF('Состав ВТК'!$K247=справочник!$A$5,(IF(AND($A254='Состав ВТК'!$B247,$O$10=$C254),$F254*$D254*VLOOKUP($B254,Расценка!$H$3:$K$9,4,FALSE),0)),0),2),"-")</f>
        <v>0</v>
      </c>
      <c r="P254" s="299">
        <f t="shared" si="41"/>
        <v>0</v>
      </c>
      <c r="Q254" s="300">
        <f t="shared" si="37"/>
        <v>0</v>
      </c>
      <c r="R254" s="300">
        <f t="shared" si="38"/>
        <v>0</v>
      </c>
      <c r="S254" s="295">
        <f t="shared" si="42"/>
        <v>0</v>
      </c>
      <c r="T254" s="298">
        <f>IFERROR(ROUND(IF(AND('Расчет участников НИР'!$A254='Состав ВТК'!$B247,'Расчет участников НИР'!$T$10='Состав ВТК'!$I247),$E254,0),2),"-")</f>
        <v>0</v>
      </c>
      <c r="U254" s="298">
        <f>IFERROR(ROUND(IF(AND('Расчет участников НИР'!$A254='Состав ВТК'!$B247,'Расчет участников НИР'!$U$10='Состав ВТК'!$I247),$E254,0),2),"-")</f>
        <v>0</v>
      </c>
      <c r="V254" s="298">
        <f>IFERROR(ROUND(IF(AND('Расчет участников НИР'!$A254='Состав ВТК'!$B247,'Расчет участников НИР'!$V$10='Состав ВТК'!$I247),$E254,0),2),"-")</f>
        <v>0</v>
      </c>
      <c r="W254" s="301" t="str">
        <f t="shared" si="43"/>
        <v>-</v>
      </c>
      <c r="X254" s="301" t="str">
        <f t="shared" si="44"/>
        <v>-</v>
      </c>
      <c r="Y254" s="301" t="str">
        <f t="shared" si="45"/>
        <v>-</v>
      </c>
    </row>
    <row r="255" spans="1:25" x14ac:dyDescent="0.25">
      <c r="A255" s="217">
        <f>'Состав ВТК'!B248</f>
        <v>0</v>
      </c>
      <c r="B255" s="290">
        <f>IFERROR(VLOOKUP($A255,Распределение!$B$13:$L$113,11,FALSE),"-")</f>
        <v>0</v>
      </c>
      <c r="C255" s="291" t="str">
        <f>IFERROR(IF(VLOOKUP($B255,Расценка!$H$3:$I$9,2,FALSE)="НС",Расценка!$T$11,Расценка!$T$12),"-")</f>
        <v>-</v>
      </c>
      <c r="D255" s="291">
        <f>IFERROR(INDEX(Распределение!$1:$1048576,MATCH($A255,Распределение!$B:$B,0),MATCH($D$8,Распределение!$9:$9,0)),"---")</f>
        <v>0</v>
      </c>
      <c r="E255" s="292">
        <f>IFERROR(SUMIFS('Трудозатраты членов ВТК'!$G$17:$G$117,'Трудозатраты членов ВТК'!$D$17:$D$117,A:A),"-")</f>
        <v>0</v>
      </c>
      <c r="F255" s="293">
        <f>IFERROR(SUMIFS('Трудозатраты членов ВТК'!$F$464:$F$713,'Трудозатраты членов ВТК'!$D$464:$D$713,A:A),"-")</f>
        <v>0</v>
      </c>
      <c r="G255" s="302"/>
      <c r="H255" s="295">
        <f t="shared" si="39"/>
        <v>0</v>
      </c>
      <c r="I255" s="296">
        <f>IFERROR(ROUND(IF('Состав ВТК'!$K248=справочник!$A$5,IF(AND('Расчет участников НИР'!$A255='Состав ВТК'!$B248,$I$10='Состав ВТК'!$I248),$F255*$D255*VLOOKUP('Расчет участников НИР'!$B255,Расценка!$C$3:$E$13,3,FALSE),0),0),2),"-")</f>
        <v>0</v>
      </c>
      <c r="J255" s="296">
        <f>IFERROR(ROUND(IF('Состав ВТК'!$K248=справочник!$A$5,IF(AND('Расчет участников НИР'!$A255='Состав ВТК'!$B248,$J$10='Состав ВТК'!$I248),$F255*$D255*VLOOKUP('Расчет участников НИР'!$B255,Расценка!$C$3:$E$13,3,FALSE),0),0),2),"-")</f>
        <v>0</v>
      </c>
      <c r="K255" s="296">
        <f>IFERROR(ROUND(IF('Состав ВТК'!$K248=справочник!$A$5,IF(AND('Расчет участников НИР'!$A255='Состав ВТК'!$B248,$K$10='Состав ВТК'!$I248),$F255*$D255*VLOOKUP('Расчет участников НИР'!$B255,Расценка!$C$3:$E$13,3,FALSE),0),0),2),"-")</f>
        <v>0</v>
      </c>
      <c r="L255" s="297"/>
      <c r="M255" s="295">
        <f t="shared" si="40"/>
        <v>0</v>
      </c>
      <c r="N255" s="298">
        <f>IFERROR(ROUND(IF('Состав ВТК'!$K248=справочник!$A$5,(IF(AND($A255='Состав ВТК'!$B248,$N$10=$C255),$F255*$D255*VLOOKUP($B255,Расценка!$H$3:$K$9,4,FALSE),0)),0),2),"-")</f>
        <v>0</v>
      </c>
      <c r="O255" s="298">
        <f>IFERROR(ROUND(IF('Состав ВТК'!$K248=справочник!$A$5,(IF(AND($A255='Состав ВТК'!$B248,$O$10=$C255),$F255*$D255*VLOOKUP($B255,Расценка!$H$3:$K$9,4,FALSE),0)),0),2),"-")</f>
        <v>0</v>
      </c>
      <c r="P255" s="299">
        <f t="shared" si="41"/>
        <v>0</v>
      </c>
      <c r="Q255" s="300">
        <f t="shared" si="37"/>
        <v>0</v>
      </c>
      <c r="R255" s="300">
        <f t="shared" si="38"/>
        <v>0</v>
      </c>
      <c r="S255" s="295">
        <f t="shared" si="42"/>
        <v>0</v>
      </c>
      <c r="T255" s="298">
        <f>IFERROR(ROUND(IF(AND('Расчет участников НИР'!$A255='Состав ВТК'!$B248,'Расчет участников НИР'!$T$10='Состав ВТК'!$I248),$E255,0),2),"-")</f>
        <v>0</v>
      </c>
      <c r="U255" s="298">
        <f>IFERROR(ROUND(IF(AND('Расчет участников НИР'!$A255='Состав ВТК'!$B248,'Расчет участников НИР'!$U$10='Состав ВТК'!$I248),$E255,0),2),"-")</f>
        <v>0</v>
      </c>
      <c r="V255" s="298">
        <f>IFERROR(ROUND(IF(AND('Расчет участников НИР'!$A255='Состав ВТК'!$B248,'Расчет участников НИР'!$V$10='Состав ВТК'!$I248),$E255,0),2),"-")</f>
        <v>0</v>
      </c>
      <c r="W255" s="301" t="str">
        <f t="shared" si="43"/>
        <v>-</v>
      </c>
      <c r="X255" s="301" t="str">
        <f t="shared" si="44"/>
        <v>-</v>
      </c>
      <c r="Y255" s="301" t="str">
        <f t="shared" si="45"/>
        <v>-</v>
      </c>
    </row>
    <row r="256" spans="1:25" x14ac:dyDescent="0.25">
      <c r="A256" s="217">
        <f>'Состав ВТК'!B249</f>
        <v>0</v>
      </c>
      <c r="B256" s="290">
        <f>IFERROR(VLOOKUP($A256,Распределение!$B$13:$L$113,11,FALSE),"-")</f>
        <v>0</v>
      </c>
      <c r="C256" s="291" t="str">
        <f>IFERROR(IF(VLOOKUP($B256,Расценка!$H$3:$I$9,2,FALSE)="НС",Расценка!$T$11,Расценка!$T$12),"-")</f>
        <v>-</v>
      </c>
      <c r="D256" s="291">
        <f>IFERROR(INDEX(Распределение!$1:$1048576,MATCH($A256,Распределение!$B:$B,0),MATCH($D$8,Распределение!$9:$9,0)),"---")</f>
        <v>0</v>
      </c>
      <c r="E256" s="292">
        <f>IFERROR(SUMIFS('Трудозатраты членов ВТК'!$G$17:$G$117,'Трудозатраты членов ВТК'!$D$17:$D$117,A:A),"-")</f>
        <v>0</v>
      </c>
      <c r="F256" s="293">
        <f>IFERROR(SUMIFS('Трудозатраты членов ВТК'!$F$464:$F$713,'Трудозатраты членов ВТК'!$D$464:$D$713,A:A),"-")</f>
        <v>0</v>
      </c>
      <c r="G256" s="302"/>
      <c r="H256" s="295">
        <f t="shared" si="39"/>
        <v>0</v>
      </c>
      <c r="I256" s="296">
        <f>IFERROR(ROUND(IF('Состав ВТК'!$K249=справочник!$A$5,IF(AND('Расчет участников НИР'!$A256='Состав ВТК'!$B249,$I$10='Состав ВТК'!$I249),$F256*$D256*VLOOKUP('Расчет участников НИР'!$B256,Расценка!$C$3:$E$13,3,FALSE),0),0),2),"-")</f>
        <v>0</v>
      </c>
      <c r="J256" s="296">
        <f>IFERROR(ROUND(IF('Состав ВТК'!$K249=справочник!$A$5,IF(AND('Расчет участников НИР'!$A256='Состав ВТК'!$B249,$J$10='Состав ВТК'!$I249),$F256*$D256*VLOOKUP('Расчет участников НИР'!$B256,Расценка!$C$3:$E$13,3,FALSE),0),0),2),"-")</f>
        <v>0</v>
      </c>
      <c r="K256" s="296">
        <f>IFERROR(ROUND(IF('Состав ВТК'!$K249=справочник!$A$5,IF(AND('Расчет участников НИР'!$A256='Состав ВТК'!$B249,$K$10='Состав ВТК'!$I249),$F256*$D256*VLOOKUP('Расчет участников НИР'!$B256,Расценка!$C$3:$E$13,3,FALSE),0),0),2),"-")</f>
        <v>0</v>
      </c>
      <c r="L256" s="297"/>
      <c r="M256" s="295">
        <f t="shared" si="40"/>
        <v>0</v>
      </c>
      <c r="N256" s="298">
        <f>IFERROR(ROUND(IF('Состав ВТК'!$K249=справочник!$A$5,(IF(AND($A256='Состав ВТК'!$B249,$N$10=$C256),$F256*$D256*VLOOKUP($B256,Расценка!$H$3:$K$9,4,FALSE),0)),0),2),"-")</f>
        <v>0</v>
      </c>
      <c r="O256" s="298">
        <f>IFERROR(ROUND(IF('Состав ВТК'!$K249=справочник!$A$5,(IF(AND($A256='Состав ВТК'!$B249,$O$10=$C256),$F256*$D256*VLOOKUP($B256,Расценка!$H$3:$K$9,4,FALSE),0)),0),2),"-")</f>
        <v>0</v>
      </c>
      <c r="P256" s="299">
        <f t="shared" si="41"/>
        <v>0</v>
      </c>
      <c r="Q256" s="300">
        <f t="shared" si="37"/>
        <v>0</v>
      </c>
      <c r="R256" s="300">
        <f t="shared" si="38"/>
        <v>0</v>
      </c>
      <c r="S256" s="295">
        <f t="shared" si="42"/>
        <v>0</v>
      </c>
      <c r="T256" s="298">
        <f>IFERROR(ROUND(IF(AND('Расчет участников НИР'!$A256='Состав ВТК'!$B249,'Расчет участников НИР'!$T$10='Состав ВТК'!$I249),$E256,0),2),"-")</f>
        <v>0</v>
      </c>
      <c r="U256" s="298">
        <f>IFERROR(ROUND(IF(AND('Расчет участников НИР'!$A256='Состав ВТК'!$B249,'Расчет участников НИР'!$U$10='Состав ВТК'!$I249),$E256,0),2),"-")</f>
        <v>0</v>
      </c>
      <c r="V256" s="298">
        <f>IFERROR(ROUND(IF(AND('Расчет участников НИР'!$A256='Состав ВТК'!$B249,'Расчет участников НИР'!$V$10='Состав ВТК'!$I249),$E256,0),2),"-")</f>
        <v>0</v>
      </c>
      <c r="W256" s="301" t="str">
        <f t="shared" si="43"/>
        <v>-</v>
      </c>
      <c r="X256" s="301" t="str">
        <f t="shared" si="44"/>
        <v>-</v>
      </c>
      <c r="Y256" s="301" t="str">
        <f t="shared" si="45"/>
        <v>-</v>
      </c>
    </row>
    <row r="257" spans="1:25" x14ac:dyDescent="0.25">
      <c r="A257" s="217">
        <f>'Состав ВТК'!B250</f>
        <v>0</v>
      </c>
      <c r="B257" s="290">
        <f>IFERROR(VLOOKUP($A257,Распределение!$B$13:$L$113,11,FALSE),"-")</f>
        <v>0</v>
      </c>
      <c r="C257" s="291" t="str">
        <f>IFERROR(IF(VLOOKUP($B257,Расценка!$H$3:$I$9,2,FALSE)="НС",Расценка!$T$11,Расценка!$T$12),"-")</f>
        <v>-</v>
      </c>
      <c r="D257" s="291">
        <f>IFERROR(INDEX(Распределение!$1:$1048576,MATCH($A257,Распределение!$B:$B,0),MATCH($D$8,Распределение!$9:$9,0)),"---")</f>
        <v>0</v>
      </c>
      <c r="E257" s="292">
        <f>IFERROR(SUMIFS('Трудозатраты членов ВТК'!$G$17:$G$117,'Трудозатраты членов ВТК'!$D$17:$D$117,A:A),"-")</f>
        <v>0</v>
      </c>
      <c r="F257" s="293">
        <f>IFERROR(SUMIFS('Трудозатраты членов ВТК'!$F$464:$F$713,'Трудозатраты членов ВТК'!$D$464:$D$713,A:A),"-")</f>
        <v>0</v>
      </c>
      <c r="G257" s="302"/>
      <c r="H257" s="295">
        <f t="shared" si="39"/>
        <v>0</v>
      </c>
      <c r="I257" s="296">
        <f>IFERROR(ROUND(IF('Состав ВТК'!$K250=справочник!$A$5,IF(AND('Расчет участников НИР'!$A257='Состав ВТК'!$B250,$I$10='Состав ВТК'!$I250),$F257*$D257*VLOOKUP('Расчет участников НИР'!$B257,Расценка!$C$3:$E$13,3,FALSE),0),0),2),"-")</f>
        <v>0</v>
      </c>
      <c r="J257" s="296">
        <f>IFERROR(ROUND(IF('Состав ВТК'!$K250=справочник!$A$5,IF(AND('Расчет участников НИР'!$A257='Состав ВТК'!$B250,$J$10='Состав ВТК'!$I250),$F257*$D257*VLOOKUP('Расчет участников НИР'!$B257,Расценка!$C$3:$E$13,3,FALSE),0),0),2),"-")</f>
        <v>0</v>
      </c>
      <c r="K257" s="296">
        <f>IFERROR(ROUND(IF('Состав ВТК'!$K250=справочник!$A$5,IF(AND('Расчет участников НИР'!$A257='Состав ВТК'!$B250,$K$10='Состав ВТК'!$I250),$F257*$D257*VLOOKUP('Расчет участников НИР'!$B257,Расценка!$C$3:$E$13,3,FALSE),0),0),2),"-")</f>
        <v>0</v>
      </c>
      <c r="L257" s="297"/>
      <c r="M257" s="295">
        <f t="shared" si="40"/>
        <v>0</v>
      </c>
      <c r="N257" s="298">
        <f>IFERROR(ROUND(IF('Состав ВТК'!$K250=справочник!$A$5,(IF(AND($A257='Состав ВТК'!$B250,$N$10=$C257),$F257*$D257*VLOOKUP($B257,Расценка!$H$3:$K$9,4,FALSE),0)),0),2),"-")</f>
        <v>0</v>
      </c>
      <c r="O257" s="298">
        <f>IFERROR(ROUND(IF('Состав ВТК'!$K250=справочник!$A$5,(IF(AND($A257='Состав ВТК'!$B250,$O$10=$C257),$F257*$D257*VLOOKUP($B257,Расценка!$H$3:$K$9,4,FALSE),0)),0),2),"-")</f>
        <v>0</v>
      </c>
      <c r="P257" s="299">
        <f t="shared" si="41"/>
        <v>0</v>
      </c>
      <c r="Q257" s="300">
        <f t="shared" si="37"/>
        <v>0</v>
      </c>
      <c r="R257" s="300">
        <f t="shared" si="38"/>
        <v>0</v>
      </c>
      <c r="S257" s="295">
        <f t="shared" si="42"/>
        <v>0</v>
      </c>
      <c r="T257" s="298">
        <f>IFERROR(ROUND(IF(AND('Расчет участников НИР'!$A257='Состав ВТК'!$B250,'Расчет участников НИР'!$T$10='Состав ВТК'!$I250),$E257,0),2),"-")</f>
        <v>0</v>
      </c>
      <c r="U257" s="298">
        <f>IFERROR(ROUND(IF(AND('Расчет участников НИР'!$A257='Состав ВТК'!$B250,'Расчет участников НИР'!$U$10='Состав ВТК'!$I250),$E257,0),2),"-")</f>
        <v>0</v>
      </c>
      <c r="V257" s="298">
        <f>IFERROR(ROUND(IF(AND('Расчет участников НИР'!$A257='Состав ВТК'!$B250,'Расчет участников НИР'!$V$10='Состав ВТК'!$I250),$E257,0),2),"-")</f>
        <v>0</v>
      </c>
      <c r="W257" s="301" t="str">
        <f t="shared" si="43"/>
        <v>-</v>
      </c>
      <c r="X257" s="301" t="str">
        <f t="shared" si="44"/>
        <v>-</v>
      </c>
      <c r="Y257" s="301" t="str">
        <f t="shared" si="45"/>
        <v>-</v>
      </c>
    </row>
    <row r="258" spans="1:25" x14ac:dyDescent="0.25">
      <c r="A258" s="217">
        <f>'Состав ВТК'!B251</f>
        <v>0</v>
      </c>
      <c r="B258" s="290">
        <f>IFERROR(VLOOKUP($A258,Распределение!$B$13:$L$113,11,FALSE),"-")</f>
        <v>0</v>
      </c>
      <c r="C258" s="291" t="str">
        <f>IFERROR(IF(VLOOKUP($B258,Расценка!$H$3:$I$9,2,FALSE)="НС",Расценка!$T$11,Расценка!$T$12),"-")</f>
        <v>-</v>
      </c>
      <c r="D258" s="291">
        <f>IFERROR(INDEX(Распределение!$1:$1048576,MATCH($A258,Распределение!$B:$B,0),MATCH($D$8,Распределение!$9:$9,0)),"---")</f>
        <v>0</v>
      </c>
      <c r="E258" s="292">
        <f>IFERROR(SUMIFS('Трудозатраты членов ВТК'!$G$17:$G$117,'Трудозатраты членов ВТК'!$D$17:$D$117,A:A),"-")</f>
        <v>0</v>
      </c>
      <c r="F258" s="293">
        <f>IFERROR(SUMIFS('Трудозатраты членов ВТК'!$F$464:$F$713,'Трудозатраты членов ВТК'!$D$464:$D$713,A:A),"-")</f>
        <v>0</v>
      </c>
      <c r="G258" s="302"/>
      <c r="H258" s="295">
        <f t="shared" si="39"/>
        <v>0</v>
      </c>
      <c r="I258" s="296">
        <f>IFERROR(ROUND(IF('Состав ВТК'!$K251=справочник!$A$5,IF(AND('Расчет участников НИР'!$A258='Состав ВТК'!$B251,$I$10='Состав ВТК'!$I251),$F258*$D258*VLOOKUP('Расчет участников НИР'!$B258,Расценка!$C$3:$E$13,3,FALSE),0),0),2),"-")</f>
        <v>0</v>
      </c>
      <c r="J258" s="296">
        <f>IFERROR(ROUND(IF('Состав ВТК'!$K251=справочник!$A$5,IF(AND('Расчет участников НИР'!$A258='Состав ВТК'!$B251,$J$10='Состав ВТК'!$I251),$F258*$D258*VLOOKUP('Расчет участников НИР'!$B258,Расценка!$C$3:$E$13,3,FALSE),0),0),2),"-")</f>
        <v>0</v>
      </c>
      <c r="K258" s="296">
        <f>IFERROR(ROUND(IF('Состав ВТК'!$K251=справочник!$A$5,IF(AND('Расчет участников НИР'!$A258='Состав ВТК'!$B251,$K$10='Состав ВТК'!$I251),$F258*$D258*VLOOKUP('Расчет участников НИР'!$B258,Расценка!$C$3:$E$13,3,FALSE),0),0),2),"-")</f>
        <v>0</v>
      </c>
      <c r="L258" s="297"/>
      <c r="M258" s="295">
        <f t="shared" si="40"/>
        <v>0</v>
      </c>
      <c r="N258" s="298">
        <f>IFERROR(ROUND(IF('Состав ВТК'!$K251=справочник!$A$5,(IF(AND($A258='Состав ВТК'!$B251,$N$10=$C258),$F258*$D258*VLOOKUP($B258,Расценка!$H$3:$K$9,4,FALSE),0)),0),2),"-")</f>
        <v>0</v>
      </c>
      <c r="O258" s="298">
        <f>IFERROR(ROUND(IF('Состав ВТК'!$K251=справочник!$A$5,(IF(AND($A258='Состав ВТК'!$B251,$O$10=$C258),$F258*$D258*VLOOKUP($B258,Расценка!$H$3:$K$9,4,FALSE),0)),0),2),"-")</f>
        <v>0</v>
      </c>
      <c r="P258" s="299">
        <f t="shared" si="41"/>
        <v>0</v>
      </c>
      <c r="Q258" s="300">
        <f t="shared" si="37"/>
        <v>0</v>
      </c>
      <c r="R258" s="300">
        <f t="shared" si="38"/>
        <v>0</v>
      </c>
      <c r="S258" s="295">
        <f t="shared" si="42"/>
        <v>0</v>
      </c>
      <c r="T258" s="298">
        <f>IFERROR(ROUND(IF(AND('Расчет участников НИР'!$A258='Состав ВТК'!$B251,'Расчет участников НИР'!$T$10='Состав ВТК'!$I251),$E258,0),2),"-")</f>
        <v>0</v>
      </c>
      <c r="U258" s="298">
        <f>IFERROR(ROUND(IF(AND('Расчет участников НИР'!$A258='Состав ВТК'!$B251,'Расчет участников НИР'!$U$10='Состав ВТК'!$I251),$E258,0),2),"-")</f>
        <v>0</v>
      </c>
      <c r="V258" s="298">
        <f>IFERROR(ROUND(IF(AND('Расчет участников НИР'!$A258='Состав ВТК'!$B251,'Расчет участников НИР'!$V$10='Состав ВТК'!$I251),$E258,0),2),"-")</f>
        <v>0</v>
      </c>
      <c r="W258" s="301" t="str">
        <f t="shared" si="43"/>
        <v>-</v>
      </c>
      <c r="X258" s="301" t="str">
        <f t="shared" si="44"/>
        <v>-</v>
      </c>
      <c r="Y258" s="301" t="str">
        <f t="shared" si="45"/>
        <v>-</v>
      </c>
    </row>
    <row r="259" spans="1:25" x14ac:dyDescent="0.25">
      <c r="A259" s="217">
        <f>'Состав ВТК'!B252</f>
        <v>0</v>
      </c>
      <c r="B259" s="290">
        <f>IFERROR(VLOOKUP($A259,Распределение!$B$13:$L$113,11,FALSE),"-")</f>
        <v>0</v>
      </c>
      <c r="C259" s="291" t="str">
        <f>IFERROR(IF(VLOOKUP($B259,Расценка!$H$3:$I$9,2,FALSE)="НС",Расценка!$T$11,Расценка!$T$12),"-")</f>
        <v>-</v>
      </c>
      <c r="D259" s="291">
        <f>IFERROR(INDEX(Распределение!$1:$1048576,MATCH($A259,Распределение!$B:$B,0),MATCH($D$8,Распределение!$9:$9,0)),"---")</f>
        <v>0</v>
      </c>
      <c r="E259" s="292">
        <f>IFERROR(SUMIFS('Трудозатраты членов ВТК'!$G$17:$G$117,'Трудозатраты членов ВТК'!$D$17:$D$117,A:A),"-")</f>
        <v>0</v>
      </c>
      <c r="F259" s="293">
        <f>IFERROR(SUMIFS('Трудозатраты членов ВТК'!$F$464:$F$713,'Трудозатраты членов ВТК'!$D$464:$D$713,A:A),"-")</f>
        <v>0</v>
      </c>
      <c r="G259" s="302"/>
      <c r="H259" s="295">
        <f t="shared" si="39"/>
        <v>0</v>
      </c>
      <c r="I259" s="296">
        <f>IFERROR(ROUND(IF('Состав ВТК'!$K252=справочник!$A$5,IF(AND('Расчет участников НИР'!$A259='Состав ВТК'!$B252,$I$10='Состав ВТК'!$I252),$F259*$D259*VLOOKUP('Расчет участников НИР'!$B259,Расценка!$C$3:$E$13,3,FALSE),0),0),2),"-")</f>
        <v>0</v>
      </c>
      <c r="J259" s="296">
        <f>IFERROR(ROUND(IF('Состав ВТК'!$K252=справочник!$A$5,IF(AND('Расчет участников НИР'!$A259='Состав ВТК'!$B252,$J$10='Состав ВТК'!$I252),$F259*$D259*VLOOKUP('Расчет участников НИР'!$B259,Расценка!$C$3:$E$13,3,FALSE),0),0),2),"-")</f>
        <v>0</v>
      </c>
      <c r="K259" s="296">
        <f>IFERROR(ROUND(IF('Состав ВТК'!$K252=справочник!$A$5,IF(AND('Расчет участников НИР'!$A259='Состав ВТК'!$B252,$K$10='Состав ВТК'!$I252),$F259*$D259*VLOOKUP('Расчет участников НИР'!$B259,Расценка!$C$3:$E$13,3,FALSE),0),0),2),"-")</f>
        <v>0</v>
      </c>
      <c r="L259" s="297"/>
      <c r="M259" s="295">
        <f t="shared" si="40"/>
        <v>0</v>
      </c>
      <c r="N259" s="298">
        <f>IFERROR(ROUND(IF('Состав ВТК'!$K252=справочник!$A$5,(IF(AND($A259='Состав ВТК'!$B252,$N$10=$C259),$F259*$D259*VLOOKUP($B259,Расценка!$H$3:$K$9,4,FALSE),0)),0),2),"-")</f>
        <v>0</v>
      </c>
      <c r="O259" s="298">
        <f>IFERROR(ROUND(IF('Состав ВТК'!$K252=справочник!$A$5,(IF(AND($A259='Состав ВТК'!$B252,$O$10=$C259),$F259*$D259*VLOOKUP($B259,Расценка!$H$3:$K$9,4,FALSE),0)),0),2),"-")</f>
        <v>0</v>
      </c>
      <c r="P259" s="299">
        <f t="shared" si="41"/>
        <v>0</v>
      </c>
      <c r="Q259" s="300">
        <f t="shared" si="37"/>
        <v>0</v>
      </c>
      <c r="R259" s="300">
        <f t="shared" si="38"/>
        <v>0</v>
      </c>
      <c r="S259" s="295">
        <f t="shared" si="42"/>
        <v>0</v>
      </c>
      <c r="T259" s="298">
        <f>IFERROR(ROUND(IF(AND('Расчет участников НИР'!$A259='Состав ВТК'!$B252,'Расчет участников НИР'!$T$10='Состав ВТК'!$I252),$E259,0),2),"-")</f>
        <v>0</v>
      </c>
      <c r="U259" s="298">
        <f>IFERROR(ROUND(IF(AND('Расчет участников НИР'!$A259='Состав ВТК'!$B252,'Расчет участников НИР'!$U$10='Состав ВТК'!$I252),$E259,0),2),"-")</f>
        <v>0</v>
      </c>
      <c r="V259" s="298">
        <f>IFERROR(ROUND(IF(AND('Расчет участников НИР'!$A259='Состав ВТК'!$B252,'Расчет участников НИР'!$V$10='Состав ВТК'!$I252),$E259,0),2),"-")</f>
        <v>0</v>
      </c>
      <c r="W259" s="301" t="str">
        <f t="shared" si="43"/>
        <v>-</v>
      </c>
      <c r="X259" s="301" t="str">
        <f t="shared" si="44"/>
        <v>-</v>
      </c>
      <c r="Y259" s="301" t="str">
        <f t="shared" si="45"/>
        <v>-</v>
      </c>
    </row>
    <row r="260" spans="1:25" x14ac:dyDescent="0.25">
      <c r="A260" s="217">
        <f>'Состав ВТК'!B253</f>
        <v>0</v>
      </c>
      <c r="B260" s="290">
        <f>IFERROR(VLOOKUP($A260,Распределение!$B$13:$L$113,11,FALSE),"-")</f>
        <v>0</v>
      </c>
      <c r="C260" s="291" t="str">
        <f>IFERROR(IF(VLOOKUP($B260,Расценка!$H$3:$I$9,2,FALSE)="НС",Расценка!$T$11,Расценка!$T$12),"-")</f>
        <v>-</v>
      </c>
      <c r="D260" s="291">
        <f>IFERROR(INDEX(Распределение!$1:$1048576,MATCH($A260,Распределение!$B:$B,0),MATCH($D$8,Распределение!$9:$9,0)),"---")</f>
        <v>0</v>
      </c>
      <c r="E260" s="292">
        <f>IFERROR(SUMIFS('Трудозатраты членов ВТК'!$G$17:$G$117,'Трудозатраты членов ВТК'!$D$17:$D$117,A:A),"-")</f>
        <v>0</v>
      </c>
      <c r="F260" s="293">
        <f>IFERROR(SUMIFS('Трудозатраты членов ВТК'!$F$464:$F$713,'Трудозатраты членов ВТК'!$D$464:$D$713,A:A),"-")</f>
        <v>0</v>
      </c>
      <c r="G260" s="302"/>
      <c r="H260" s="295">
        <f t="shared" si="39"/>
        <v>0</v>
      </c>
      <c r="I260" s="296">
        <f>IFERROR(ROUND(IF('Состав ВТК'!$K253=справочник!$A$5,IF(AND('Расчет участников НИР'!$A260='Состав ВТК'!$B253,$I$10='Состав ВТК'!$I253),$F260*$D260*VLOOKUP('Расчет участников НИР'!$B260,Расценка!$C$3:$E$13,3,FALSE),0),0),2),"-")</f>
        <v>0</v>
      </c>
      <c r="J260" s="296">
        <f>IFERROR(ROUND(IF('Состав ВТК'!$K253=справочник!$A$5,IF(AND('Расчет участников НИР'!$A260='Состав ВТК'!$B253,$J$10='Состав ВТК'!$I253),$F260*$D260*VLOOKUP('Расчет участников НИР'!$B260,Расценка!$C$3:$E$13,3,FALSE),0),0),2),"-")</f>
        <v>0</v>
      </c>
      <c r="K260" s="296">
        <f>IFERROR(ROUND(IF('Состав ВТК'!$K253=справочник!$A$5,IF(AND('Расчет участников НИР'!$A260='Состав ВТК'!$B253,$K$10='Состав ВТК'!$I253),$F260*$D260*VLOOKUP('Расчет участников НИР'!$B260,Расценка!$C$3:$E$13,3,FALSE),0),0),2),"-")</f>
        <v>0</v>
      </c>
      <c r="L260" s="297"/>
      <c r="M260" s="295">
        <f t="shared" si="40"/>
        <v>0</v>
      </c>
      <c r="N260" s="298">
        <f>IFERROR(ROUND(IF('Состав ВТК'!$K253=справочник!$A$5,(IF(AND($A260='Состав ВТК'!$B253,$N$10=$C260),$F260*$D260*VLOOKUP($B260,Расценка!$H$3:$K$9,4,FALSE),0)),0),2),"-")</f>
        <v>0</v>
      </c>
      <c r="O260" s="298">
        <f>IFERROR(ROUND(IF('Состав ВТК'!$K253=справочник!$A$5,(IF(AND($A260='Состав ВТК'!$B253,$O$10=$C260),$F260*$D260*VLOOKUP($B260,Расценка!$H$3:$K$9,4,FALSE),0)),0),2),"-")</f>
        <v>0</v>
      </c>
      <c r="P260" s="299">
        <f t="shared" si="41"/>
        <v>0</v>
      </c>
      <c r="Q260" s="300">
        <f t="shared" si="37"/>
        <v>0</v>
      </c>
      <c r="R260" s="300">
        <f t="shared" si="38"/>
        <v>0</v>
      </c>
      <c r="S260" s="295">
        <f t="shared" si="42"/>
        <v>0</v>
      </c>
      <c r="T260" s="298">
        <f>IFERROR(ROUND(IF(AND('Расчет участников НИР'!$A260='Состав ВТК'!$B253,'Расчет участников НИР'!$T$10='Состав ВТК'!$I253),$E260,0),2),"-")</f>
        <v>0</v>
      </c>
      <c r="U260" s="298">
        <f>IFERROR(ROUND(IF(AND('Расчет участников НИР'!$A260='Состав ВТК'!$B253,'Расчет участников НИР'!$U$10='Состав ВТК'!$I253),$E260,0),2),"-")</f>
        <v>0</v>
      </c>
      <c r="V260" s="298">
        <f>IFERROR(ROUND(IF(AND('Расчет участников НИР'!$A260='Состав ВТК'!$B253,'Расчет участников НИР'!$V$10='Состав ВТК'!$I253),$E260,0),2),"-")</f>
        <v>0</v>
      </c>
      <c r="W260" s="301" t="str">
        <f t="shared" si="43"/>
        <v>-</v>
      </c>
      <c r="X260" s="301" t="str">
        <f t="shared" si="44"/>
        <v>-</v>
      </c>
      <c r="Y260" s="301" t="str">
        <f t="shared" si="45"/>
        <v>-</v>
      </c>
    </row>
    <row r="261" spans="1:25" x14ac:dyDescent="0.25">
      <c r="A261" s="217">
        <f>'Состав ВТК'!B254</f>
        <v>0</v>
      </c>
      <c r="B261" s="290">
        <f>IFERROR(VLOOKUP($A261,Распределение!$B$13:$L$113,11,FALSE),"-")</f>
        <v>0</v>
      </c>
      <c r="C261" s="291" t="str">
        <f>IFERROR(IF(VLOOKUP($B261,Расценка!$H$3:$I$9,2,FALSE)="НС",Расценка!$T$11,Расценка!$T$12),"-")</f>
        <v>-</v>
      </c>
      <c r="D261" s="291">
        <f>IFERROR(INDEX(Распределение!$1:$1048576,MATCH($A261,Распределение!$B:$B,0),MATCH($D$8,Распределение!$9:$9,0)),"---")</f>
        <v>0</v>
      </c>
      <c r="E261" s="292">
        <f>IFERROR(SUMIFS('Трудозатраты членов ВТК'!$G$17:$G$117,'Трудозатраты членов ВТК'!$D$17:$D$117,A:A),"-")</f>
        <v>0</v>
      </c>
      <c r="F261" s="293">
        <f>IFERROR(SUMIFS('Трудозатраты членов ВТК'!$F$464:$F$713,'Трудозатраты членов ВТК'!$D$464:$D$713,A:A),"-")</f>
        <v>0</v>
      </c>
      <c r="G261" s="302"/>
      <c r="H261" s="295">
        <f t="shared" si="39"/>
        <v>0</v>
      </c>
      <c r="I261" s="296">
        <f>IFERROR(ROUND(IF('Состав ВТК'!$K254=справочник!$A$5,IF(AND('Расчет участников НИР'!$A261='Состав ВТК'!$B254,$I$10='Состав ВТК'!$I254),$F261*$D261*VLOOKUP('Расчет участников НИР'!$B261,Расценка!$C$3:$E$13,3,FALSE),0),0),2),"-")</f>
        <v>0</v>
      </c>
      <c r="J261" s="296">
        <f>IFERROR(ROUND(IF('Состав ВТК'!$K254=справочник!$A$5,IF(AND('Расчет участников НИР'!$A261='Состав ВТК'!$B254,$J$10='Состав ВТК'!$I254),$F261*$D261*VLOOKUP('Расчет участников НИР'!$B261,Расценка!$C$3:$E$13,3,FALSE),0),0),2),"-")</f>
        <v>0</v>
      </c>
      <c r="K261" s="296">
        <f>IFERROR(ROUND(IF('Состав ВТК'!$K254=справочник!$A$5,IF(AND('Расчет участников НИР'!$A261='Состав ВТК'!$B254,$K$10='Состав ВТК'!$I254),$F261*$D261*VLOOKUP('Расчет участников НИР'!$B261,Расценка!$C$3:$E$13,3,FALSE),0),0),2),"-")</f>
        <v>0</v>
      </c>
      <c r="L261" s="297"/>
      <c r="M261" s="295">
        <f t="shared" si="40"/>
        <v>0</v>
      </c>
      <c r="N261" s="298">
        <f>IFERROR(ROUND(IF('Состав ВТК'!$K254=справочник!$A$5,(IF(AND($A261='Состав ВТК'!$B254,$N$10=$C261),$F261*$D261*VLOOKUP($B261,Расценка!$H$3:$K$9,4,FALSE),0)),0),2),"-")</f>
        <v>0</v>
      </c>
      <c r="O261" s="298">
        <f>IFERROR(ROUND(IF('Состав ВТК'!$K254=справочник!$A$5,(IF(AND($A261='Состав ВТК'!$B254,$O$10=$C261),$F261*$D261*VLOOKUP($B261,Расценка!$H$3:$K$9,4,FALSE),0)),0),2),"-")</f>
        <v>0</v>
      </c>
      <c r="P261" s="299">
        <f t="shared" si="41"/>
        <v>0</v>
      </c>
      <c r="Q261" s="300">
        <f t="shared" si="37"/>
        <v>0</v>
      </c>
      <c r="R261" s="300">
        <f t="shared" si="38"/>
        <v>0</v>
      </c>
      <c r="S261" s="295">
        <f t="shared" si="42"/>
        <v>0</v>
      </c>
      <c r="T261" s="298">
        <f>IFERROR(ROUND(IF(AND('Расчет участников НИР'!$A261='Состав ВТК'!$B254,'Расчет участников НИР'!$T$10='Состав ВТК'!$I254),$E261,0),2),"-")</f>
        <v>0</v>
      </c>
      <c r="U261" s="298">
        <f>IFERROR(ROUND(IF(AND('Расчет участников НИР'!$A261='Состав ВТК'!$B254,'Расчет участников НИР'!$U$10='Состав ВТК'!$I254),$E261,0),2),"-")</f>
        <v>0</v>
      </c>
      <c r="V261" s="298">
        <f>IFERROR(ROUND(IF(AND('Расчет участников НИР'!$A261='Состав ВТК'!$B254,'Расчет участников НИР'!$V$10='Состав ВТК'!$I254),$E261,0),2),"-")</f>
        <v>0</v>
      </c>
      <c r="W261" s="301" t="str">
        <f t="shared" si="43"/>
        <v>-</v>
      </c>
      <c r="X261" s="301" t="str">
        <f t="shared" si="44"/>
        <v>-</v>
      </c>
      <c r="Y261" s="301" t="str">
        <f t="shared" si="45"/>
        <v>-</v>
      </c>
    </row>
    <row r="262" spans="1:25" x14ac:dyDescent="0.25">
      <c r="A262" s="217">
        <f>'Состав ВТК'!B255</f>
        <v>0</v>
      </c>
      <c r="B262" s="290">
        <f>IFERROR(VLOOKUP($A262,Распределение!$B$13:$L$113,11,FALSE),"-")</f>
        <v>0</v>
      </c>
      <c r="C262" s="291" t="str">
        <f>IFERROR(IF(VLOOKUP($B262,Расценка!$H$3:$I$9,2,FALSE)="НС",Расценка!$T$11,Расценка!$T$12),"-")</f>
        <v>-</v>
      </c>
      <c r="D262" s="291">
        <f>IFERROR(INDEX(Распределение!$1:$1048576,MATCH($A262,Распределение!$B:$B,0),MATCH($D$8,Распределение!$9:$9,0)),"---")</f>
        <v>0</v>
      </c>
      <c r="E262" s="292">
        <f>IFERROR(SUMIFS('Трудозатраты членов ВТК'!$G$17:$G$117,'Трудозатраты членов ВТК'!$D$17:$D$117,A:A),"-")</f>
        <v>0</v>
      </c>
      <c r="F262" s="293">
        <f>IFERROR(SUMIFS('Трудозатраты членов ВТК'!$F$464:$F$713,'Трудозатраты членов ВТК'!$D$464:$D$713,A:A),"-")</f>
        <v>0</v>
      </c>
      <c r="G262" s="302"/>
      <c r="H262" s="295">
        <f t="shared" si="39"/>
        <v>0</v>
      </c>
      <c r="I262" s="296">
        <f>IFERROR(ROUND(IF('Состав ВТК'!$K255=справочник!$A$5,IF(AND('Расчет участников НИР'!$A262='Состав ВТК'!$B255,$I$10='Состав ВТК'!$I255),$F262*$D262*VLOOKUP('Расчет участников НИР'!$B262,Расценка!$C$3:$E$13,3,FALSE),0),0),2),"-")</f>
        <v>0</v>
      </c>
      <c r="J262" s="296">
        <f>IFERROR(ROUND(IF('Состав ВТК'!$K255=справочник!$A$5,IF(AND('Расчет участников НИР'!$A262='Состав ВТК'!$B255,$J$10='Состав ВТК'!$I255),$F262*$D262*VLOOKUP('Расчет участников НИР'!$B262,Расценка!$C$3:$E$13,3,FALSE),0),0),2),"-")</f>
        <v>0</v>
      </c>
      <c r="K262" s="296">
        <f>IFERROR(ROUND(IF('Состав ВТК'!$K255=справочник!$A$5,IF(AND('Расчет участников НИР'!$A262='Состав ВТК'!$B255,$K$10='Состав ВТК'!$I255),$F262*$D262*VLOOKUP('Расчет участников НИР'!$B262,Расценка!$C$3:$E$13,3,FALSE),0),0),2),"-")</f>
        <v>0</v>
      </c>
      <c r="L262" s="297"/>
      <c r="M262" s="295">
        <f t="shared" si="40"/>
        <v>0</v>
      </c>
      <c r="N262" s="298">
        <f>IFERROR(ROUND(IF('Состав ВТК'!$K255=справочник!$A$5,(IF(AND($A262='Состав ВТК'!$B255,$N$10=$C262),$F262*$D262*VLOOKUP($B262,Расценка!$H$3:$K$9,4,FALSE),0)),0),2),"-")</f>
        <v>0</v>
      </c>
      <c r="O262" s="298">
        <f>IFERROR(ROUND(IF('Состав ВТК'!$K255=справочник!$A$5,(IF(AND($A262='Состав ВТК'!$B255,$O$10=$C262),$F262*$D262*VLOOKUP($B262,Расценка!$H$3:$K$9,4,FALSE),0)),0),2),"-")</f>
        <v>0</v>
      </c>
      <c r="P262" s="299">
        <f t="shared" si="41"/>
        <v>0</v>
      </c>
      <c r="Q262" s="300">
        <f t="shared" si="37"/>
        <v>0</v>
      </c>
      <c r="R262" s="300">
        <f t="shared" si="38"/>
        <v>0</v>
      </c>
      <c r="S262" s="295">
        <f t="shared" si="42"/>
        <v>0</v>
      </c>
      <c r="T262" s="298">
        <f>IFERROR(ROUND(IF(AND('Расчет участников НИР'!$A262='Состав ВТК'!$B255,'Расчет участников НИР'!$T$10='Состав ВТК'!$I255),$E262,0),2),"-")</f>
        <v>0</v>
      </c>
      <c r="U262" s="298">
        <f>IFERROR(ROUND(IF(AND('Расчет участников НИР'!$A262='Состав ВТК'!$B255,'Расчет участников НИР'!$U$10='Состав ВТК'!$I255),$E262,0),2),"-")</f>
        <v>0</v>
      </c>
      <c r="V262" s="298">
        <f>IFERROR(ROUND(IF(AND('Расчет участников НИР'!$A262='Состав ВТК'!$B255,'Расчет участников НИР'!$V$10='Состав ВТК'!$I255),$E262,0),2),"-")</f>
        <v>0</v>
      </c>
      <c r="W262" s="301" t="str">
        <f t="shared" si="43"/>
        <v>-</v>
      </c>
      <c r="X262" s="301" t="str">
        <f t="shared" si="44"/>
        <v>-</v>
      </c>
      <c r="Y262" s="301" t="str">
        <f t="shared" si="45"/>
        <v>-</v>
      </c>
    </row>
    <row r="263" spans="1:25" x14ac:dyDescent="0.25">
      <c r="A263" s="217">
        <f>'Состав ВТК'!B256</f>
        <v>0</v>
      </c>
      <c r="B263" s="290">
        <f>IFERROR(VLOOKUP($A263,Распределение!$B$13:$L$113,11,FALSE),"-")</f>
        <v>0</v>
      </c>
      <c r="C263" s="291" t="str">
        <f>IFERROR(IF(VLOOKUP($B263,Расценка!$H$3:$I$9,2,FALSE)="НС",Расценка!$T$11,Расценка!$T$12),"-")</f>
        <v>-</v>
      </c>
      <c r="D263" s="291">
        <f>IFERROR(INDEX(Распределение!$1:$1048576,MATCH($A263,Распределение!$B:$B,0),MATCH($D$8,Распределение!$9:$9,0)),"---")</f>
        <v>0</v>
      </c>
      <c r="E263" s="292">
        <f>IFERROR(SUMIFS('Трудозатраты членов ВТК'!$G$17:$G$117,'Трудозатраты членов ВТК'!$D$17:$D$117,A:A),"-")</f>
        <v>0</v>
      </c>
      <c r="F263" s="293">
        <f>IFERROR(SUMIFS('Трудозатраты членов ВТК'!$F$464:$F$713,'Трудозатраты членов ВТК'!$D$464:$D$713,A:A),"-")</f>
        <v>0</v>
      </c>
      <c r="G263" s="302"/>
      <c r="H263" s="295">
        <f t="shared" si="39"/>
        <v>0</v>
      </c>
      <c r="I263" s="296">
        <f>IFERROR(ROUND(IF('Состав ВТК'!$K256=справочник!$A$5,IF(AND('Расчет участников НИР'!$A263='Состав ВТК'!$B256,$I$10='Состав ВТК'!$I256),$F263*$D263*VLOOKUP('Расчет участников НИР'!$B263,Расценка!$C$3:$E$13,3,FALSE),0),0),2),"-")</f>
        <v>0</v>
      </c>
      <c r="J263" s="296">
        <f>IFERROR(ROUND(IF('Состав ВТК'!$K256=справочник!$A$5,IF(AND('Расчет участников НИР'!$A263='Состав ВТК'!$B256,$J$10='Состав ВТК'!$I256),$F263*$D263*VLOOKUP('Расчет участников НИР'!$B263,Расценка!$C$3:$E$13,3,FALSE),0),0),2),"-")</f>
        <v>0</v>
      </c>
      <c r="K263" s="296">
        <f>IFERROR(ROUND(IF('Состав ВТК'!$K256=справочник!$A$5,IF(AND('Расчет участников НИР'!$A263='Состав ВТК'!$B256,$K$10='Состав ВТК'!$I256),$F263*$D263*VLOOKUP('Расчет участников НИР'!$B263,Расценка!$C$3:$E$13,3,FALSE),0),0),2),"-")</f>
        <v>0</v>
      </c>
      <c r="L263" s="297"/>
      <c r="M263" s="295">
        <f t="shared" si="40"/>
        <v>0</v>
      </c>
      <c r="N263" s="298">
        <f>IFERROR(ROUND(IF('Состав ВТК'!$K256=справочник!$A$5,(IF(AND($A263='Состав ВТК'!$B256,$N$10=$C263),$F263*$D263*VLOOKUP($B263,Расценка!$H$3:$K$9,4,FALSE),0)),0),2),"-")</f>
        <v>0</v>
      </c>
      <c r="O263" s="298">
        <f>IFERROR(ROUND(IF('Состав ВТК'!$K256=справочник!$A$5,(IF(AND($A263='Состав ВТК'!$B256,$O$10=$C263),$F263*$D263*VLOOKUP($B263,Расценка!$H$3:$K$9,4,FALSE),0)),0),2),"-")</f>
        <v>0</v>
      </c>
      <c r="P263" s="299">
        <f t="shared" si="41"/>
        <v>0</v>
      </c>
      <c r="Q263" s="300">
        <f t="shared" si="37"/>
        <v>0</v>
      </c>
      <c r="R263" s="300">
        <f t="shared" si="38"/>
        <v>0</v>
      </c>
      <c r="S263" s="295">
        <f t="shared" si="42"/>
        <v>0</v>
      </c>
      <c r="T263" s="298">
        <f>IFERROR(ROUND(IF(AND('Расчет участников НИР'!$A263='Состав ВТК'!$B256,'Расчет участников НИР'!$T$10='Состав ВТК'!$I256),$E263,0),2),"-")</f>
        <v>0</v>
      </c>
      <c r="U263" s="298">
        <f>IFERROR(ROUND(IF(AND('Расчет участников НИР'!$A263='Состав ВТК'!$B256,'Расчет участников НИР'!$U$10='Состав ВТК'!$I256),$E263,0),2),"-")</f>
        <v>0</v>
      </c>
      <c r="V263" s="298">
        <f>IFERROR(ROUND(IF(AND('Расчет участников НИР'!$A263='Состав ВТК'!$B256,'Расчет участников НИР'!$V$10='Состав ВТК'!$I256),$E263,0),2),"-")</f>
        <v>0</v>
      </c>
      <c r="W263" s="301" t="str">
        <f t="shared" si="43"/>
        <v>-</v>
      </c>
      <c r="X263" s="301" t="str">
        <f t="shared" si="44"/>
        <v>-</v>
      </c>
      <c r="Y263" s="301" t="str">
        <f t="shared" si="45"/>
        <v>-</v>
      </c>
    </row>
    <row r="264" spans="1:25" x14ac:dyDescent="0.25">
      <c r="A264" s="217">
        <f>'Состав ВТК'!B257</f>
        <v>0</v>
      </c>
      <c r="B264" s="290">
        <f>IFERROR(VLOOKUP($A264,Распределение!$B$13:$L$113,11,FALSE),"-")</f>
        <v>0</v>
      </c>
      <c r="C264" s="291" t="str">
        <f>IFERROR(IF(VLOOKUP($B264,Расценка!$H$3:$I$9,2,FALSE)="НС",Расценка!$T$11,Расценка!$T$12),"-")</f>
        <v>-</v>
      </c>
      <c r="D264" s="291">
        <f>IFERROR(INDEX(Распределение!$1:$1048576,MATCH($A264,Распределение!$B:$B,0),MATCH($D$8,Распределение!$9:$9,0)),"---")</f>
        <v>0</v>
      </c>
      <c r="E264" s="292">
        <f>IFERROR(SUMIFS('Трудозатраты членов ВТК'!$G$17:$G$117,'Трудозатраты членов ВТК'!$D$17:$D$117,A:A),"-")</f>
        <v>0</v>
      </c>
      <c r="F264" s="293">
        <f>IFERROR(SUMIFS('Трудозатраты членов ВТК'!$F$464:$F$713,'Трудозатраты членов ВТК'!$D$464:$D$713,A:A),"-")</f>
        <v>0</v>
      </c>
      <c r="G264" s="302"/>
      <c r="H264" s="295">
        <f t="shared" si="39"/>
        <v>0</v>
      </c>
      <c r="I264" s="296">
        <f>IFERROR(ROUND(IF('Состав ВТК'!$K257=справочник!$A$5,IF(AND('Расчет участников НИР'!$A264='Состав ВТК'!$B257,$I$10='Состав ВТК'!$I257),$F264*$D264*VLOOKUP('Расчет участников НИР'!$B264,Расценка!$C$3:$E$13,3,FALSE),0),0),2),"-")</f>
        <v>0</v>
      </c>
      <c r="J264" s="296">
        <f>IFERROR(ROUND(IF('Состав ВТК'!$K257=справочник!$A$5,IF(AND('Расчет участников НИР'!$A264='Состав ВТК'!$B257,$J$10='Состав ВТК'!$I257),$F264*$D264*VLOOKUP('Расчет участников НИР'!$B264,Расценка!$C$3:$E$13,3,FALSE),0),0),2),"-")</f>
        <v>0</v>
      </c>
      <c r="K264" s="296">
        <f>IFERROR(ROUND(IF('Состав ВТК'!$K257=справочник!$A$5,IF(AND('Расчет участников НИР'!$A264='Состав ВТК'!$B257,$K$10='Состав ВТК'!$I257),$F264*$D264*VLOOKUP('Расчет участников НИР'!$B264,Расценка!$C$3:$E$13,3,FALSE),0),0),2),"-")</f>
        <v>0</v>
      </c>
      <c r="L264" s="297"/>
      <c r="M264" s="295">
        <f t="shared" si="40"/>
        <v>0</v>
      </c>
      <c r="N264" s="298">
        <f>IFERROR(ROUND(IF('Состав ВТК'!$K257=справочник!$A$5,(IF(AND($A264='Состав ВТК'!$B257,$N$10=$C264),$F264*$D264*VLOOKUP($B264,Расценка!$H$3:$K$9,4,FALSE),0)),0),2),"-")</f>
        <v>0</v>
      </c>
      <c r="O264" s="298">
        <f>IFERROR(ROUND(IF('Состав ВТК'!$K257=справочник!$A$5,(IF(AND($A264='Состав ВТК'!$B257,$O$10=$C264),$F264*$D264*VLOOKUP($B264,Расценка!$H$3:$K$9,4,FALSE),0)),0),2),"-")</f>
        <v>0</v>
      </c>
      <c r="P264" s="299">
        <f t="shared" si="41"/>
        <v>0</v>
      </c>
      <c r="Q264" s="300">
        <f t="shared" si="37"/>
        <v>0</v>
      </c>
      <c r="R264" s="300">
        <f t="shared" si="38"/>
        <v>0</v>
      </c>
      <c r="S264" s="295">
        <f t="shared" si="42"/>
        <v>0</v>
      </c>
      <c r="T264" s="298">
        <f>IFERROR(ROUND(IF(AND('Расчет участников НИР'!$A264='Состав ВТК'!$B257,'Расчет участников НИР'!$T$10='Состав ВТК'!$I257),$E264,0),2),"-")</f>
        <v>0</v>
      </c>
      <c r="U264" s="298">
        <f>IFERROR(ROUND(IF(AND('Расчет участников НИР'!$A264='Состав ВТК'!$B257,'Расчет участников НИР'!$U$10='Состав ВТК'!$I257),$E264,0),2),"-")</f>
        <v>0</v>
      </c>
      <c r="V264" s="298">
        <f>IFERROR(ROUND(IF(AND('Расчет участников НИР'!$A264='Состав ВТК'!$B257,'Расчет участников НИР'!$V$10='Состав ВТК'!$I257),$E264,0),2),"-")</f>
        <v>0</v>
      </c>
      <c r="W264" s="301" t="str">
        <f t="shared" si="43"/>
        <v>-</v>
      </c>
      <c r="X264" s="301" t="str">
        <f t="shared" si="44"/>
        <v>-</v>
      </c>
      <c r="Y264" s="301" t="str">
        <f t="shared" si="45"/>
        <v>-</v>
      </c>
    </row>
    <row r="265" spans="1:25" x14ac:dyDescent="0.25">
      <c r="A265" s="217">
        <f>'Состав ВТК'!B258</f>
        <v>0</v>
      </c>
      <c r="B265" s="290">
        <f>IFERROR(VLOOKUP($A265,Распределение!$B$13:$L$113,11,FALSE),"-")</f>
        <v>0</v>
      </c>
      <c r="C265" s="291" t="str">
        <f>IFERROR(IF(VLOOKUP($B265,Расценка!$H$3:$I$9,2,FALSE)="НС",Расценка!$T$11,Расценка!$T$12),"-")</f>
        <v>-</v>
      </c>
      <c r="D265" s="291">
        <f>IFERROR(INDEX(Распределение!$1:$1048576,MATCH($A265,Распределение!$B:$B,0),MATCH($D$8,Распределение!$9:$9,0)),"---")</f>
        <v>0</v>
      </c>
      <c r="E265" s="292">
        <f>IFERROR(SUMIFS('Трудозатраты членов ВТК'!$G$17:$G$117,'Трудозатраты членов ВТК'!$D$17:$D$117,A:A),"-")</f>
        <v>0</v>
      </c>
      <c r="F265" s="293">
        <f>IFERROR(SUMIFS('Трудозатраты членов ВТК'!$F$464:$F$713,'Трудозатраты членов ВТК'!$D$464:$D$713,A:A),"-")</f>
        <v>0</v>
      </c>
      <c r="G265" s="302"/>
      <c r="H265" s="295">
        <f t="shared" si="39"/>
        <v>0</v>
      </c>
      <c r="I265" s="296">
        <f>IFERROR(ROUND(IF('Состав ВТК'!$K258=справочник!$A$5,IF(AND('Расчет участников НИР'!$A265='Состав ВТК'!$B258,$I$10='Состав ВТК'!$I258),$F265*$D265*VLOOKUP('Расчет участников НИР'!$B265,Расценка!$C$3:$E$13,3,FALSE),0),0),2),"-")</f>
        <v>0</v>
      </c>
      <c r="J265" s="296">
        <f>IFERROR(ROUND(IF('Состав ВТК'!$K258=справочник!$A$5,IF(AND('Расчет участников НИР'!$A265='Состав ВТК'!$B258,$J$10='Состав ВТК'!$I258),$F265*$D265*VLOOKUP('Расчет участников НИР'!$B265,Расценка!$C$3:$E$13,3,FALSE),0),0),2),"-")</f>
        <v>0</v>
      </c>
      <c r="K265" s="296">
        <f>IFERROR(ROUND(IF('Состав ВТК'!$K258=справочник!$A$5,IF(AND('Расчет участников НИР'!$A265='Состав ВТК'!$B258,$K$10='Состав ВТК'!$I258),$F265*$D265*VLOOKUP('Расчет участников НИР'!$B265,Расценка!$C$3:$E$13,3,FALSE),0),0),2),"-")</f>
        <v>0</v>
      </c>
      <c r="L265" s="297"/>
      <c r="M265" s="295">
        <f t="shared" si="40"/>
        <v>0</v>
      </c>
      <c r="N265" s="298">
        <f>IFERROR(ROUND(IF('Состав ВТК'!$K258=справочник!$A$5,(IF(AND($A265='Состав ВТК'!$B258,$N$10=$C265),$F265*$D265*VLOOKUP($B265,Расценка!$H$3:$K$9,4,FALSE),0)),0),2),"-")</f>
        <v>0</v>
      </c>
      <c r="O265" s="298">
        <f>IFERROR(ROUND(IF('Состав ВТК'!$K258=справочник!$A$5,(IF(AND($A265='Состав ВТК'!$B258,$O$10=$C265),$F265*$D265*VLOOKUP($B265,Расценка!$H$3:$K$9,4,FALSE),0)),0),2),"-")</f>
        <v>0</v>
      </c>
      <c r="P265" s="299">
        <f t="shared" si="41"/>
        <v>0</v>
      </c>
      <c r="Q265" s="300">
        <f t="shared" si="37"/>
        <v>0</v>
      </c>
      <c r="R265" s="300">
        <f t="shared" si="38"/>
        <v>0</v>
      </c>
      <c r="S265" s="295">
        <f t="shared" si="42"/>
        <v>0</v>
      </c>
      <c r="T265" s="298">
        <f>IFERROR(ROUND(IF(AND('Расчет участников НИР'!$A265='Состав ВТК'!$B258,'Расчет участников НИР'!$T$10='Состав ВТК'!$I258),$E265,0),2),"-")</f>
        <v>0</v>
      </c>
      <c r="U265" s="298">
        <f>IFERROR(ROUND(IF(AND('Расчет участников НИР'!$A265='Состав ВТК'!$B258,'Расчет участников НИР'!$U$10='Состав ВТК'!$I258),$E265,0),2),"-")</f>
        <v>0</v>
      </c>
      <c r="V265" s="298">
        <f>IFERROR(ROUND(IF(AND('Расчет участников НИР'!$A265='Состав ВТК'!$B258,'Расчет участников НИР'!$V$10='Состав ВТК'!$I258),$E265,0),2),"-")</f>
        <v>0</v>
      </c>
      <c r="W265" s="301" t="str">
        <f t="shared" si="43"/>
        <v>-</v>
      </c>
      <c r="X265" s="301" t="str">
        <f t="shared" si="44"/>
        <v>-</v>
      </c>
      <c r="Y265" s="301" t="str">
        <f t="shared" si="45"/>
        <v>-</v>
      </c>
    </row>
    <row r="266" spans="1:25" x14ac:dyDescent="0.25">
      <c r="A266" s="217">
        <f>'Состав ВТК'!B259</f>
        <v>0</v>
      </c>
      <c r="B266" s="290">
        <f>IFERROR(VLOOKUP($A266,Распределение!$B$13:$L$113,11,FALSE),"-")</f>
        <v>0</v>
      </c>
      <c r="C266" s="291" t="str">
        <f>IFERROR(IF(VLOOKUP($B266,Расценка!$H$3:$I$9,2,FALSE)="НС",Расценка!$T$11,Расценка!$T$12),"-")</f>
        <v>-</v>
      </c>
      <c r="D266" s="291">
        <f>IFERROR(INDEX(Распределение!$1:$1048576,MATCH($A266,Распределение!$B:$B,0),MATCH($D$8,Распределение!$9:$9,0)),"---")</f>
        <v>0</v>
      </c>
      <c r="E266" s="292">
        <f>IFERROR(SUMIFS('Трудозатраты членов ВТК'!$G$17:$G$117,'Трудозатраты членов ВТК'!$D$17:$D$117,A:A),"-")</f>
        <v>0</v>
      </c>
      <c r="F266" s="293">
        <f>IFERROR(SUMIFS('Трудозатраты членов ВТК'!$F$464:$F$713,'Трудозатраты членов ВТК'!$D$464:$D$713,A:A),"-")</f>
        <v>0</v>
      </c>
      <c r="G266" s="302"/>
      <c r="H266" s="295">
        <f t="shared" si="39"/>
        <v>0</v>
      </c>
      <c r="I266" s="296">
        <f>IFERROR(ROUND(IF('Состав ВТК'!$K259=справочник!$A$5,IF(AND('Расчет участников НИР'!$A266='Состав ВТК'!$B259,$I$10='Состав ВТК'!$I259),$F266*$D266*VLOOKUP('Расчет участников НИР'!$B266,Расценка!$C$3:$E$13,3,FALSE),0),0),2),"-")</f>
        <v>0</v>
      </c>
      <c r="J266" s="296">
        <f>IFERROR(ROUND(IF('Состав ВТК'!$K259=справочник!$A$5,IF(AND('Расчет участников НИР'!$A266='Состав ВТК'!$B259,$J$10='Состав ВТК'!$I259),$F266*$D266*VLOOKUP('Расчет участников НИР'!$B266,Расценка!$C$3:$E$13,3,FALSE),0),0),2),"-")</f>
        <v>0</v>
      </c>
      <c r="K266" s="296">
        <f>IFERROR(ROUND(IF('Состав ВТК'!$K259=справочник!$A$5,IF(AND('Расчет участников НИР'!$A266='Состав ВТК'!$B259,$K$10='Состав ВТК'!$I259),$F266*$D266*VLOOKUP('Расчет участников НИР'!$B266,Расценка!$C$3:$E$13,3,FALSE),0),0),2),"-")</f>
        <v>0</v>
      </c>
      <c r="L266" s="297"/>
      <c r="M266" s="295">
        <f t="shared" si="40"/>
        <v>0</v>
      </c>
      <c r="N266" s="298">
        <f>IFERROR(ROUND(IF('Состав ВТК'!$K259=справочник!$A$5,(IF(AND($A266='Состав ВТК'!$B259,$N$10=$C266),$F266*$D266*VLOOKUP($B266,Расценка!$H$3:$K$9,4,FALSE),0)),0),2),"-")</f>
        <v>0</v>
      </c>
      <c r="O266" s="298">
        <f>IFERROR(ROUND(IF('Состав ВТК'!$K259=справочник!$A$5,(IF(AND($A266='Состав ВТК'!$B259,$O$10=$C266),$F266*$D266*VLOOKUP($B266,Расценка!$H$3:$K$9,4,FALSE),0)),0),2),"-")</f>
        <v>0</v>
      </c>
      <c r="P266" s="299">
        <f t="shared" si="41"/>
        <v>0</v>
      </c>
      <c r="Q266" s="300">
        <f t="shared" si="37"/>
        <v>0</v>
      </c>
      <c r="R266" s="300">
        <f t="shared" si="38"/>
        <v>0</v>
      </c>
      <c r="S266" s="295">
        <f t="shared" si="42"/>
        <v>0</v>
      </c>
      <c r="T266" s="298">
        <f>IFERROR(ROUND(IF(AND('Расчет участников НИР'!$A266='Состав ВТК'!$B259,'Расчет участников НИР'!$T$10='Состав ВТК'!$I259),$E266,0),2),"-")</f>
        <v>0</v>
      </c>
      <c r="U266" s="298">
        <f>IFERROR(ROUND(IF(AND('Расчет участников НИР'!$A266='Состав ВТК'!$B259,'Расчет участников НИР'!$U$10='Состав ВТК'!$I259),$E266,0),2),"-")</f>
        <v>0</v>
      </c>
      <c r="V266" s="298">
        <f>IFERROR(ROUND(IF(AND('Расчет участников НИР'!$A266='Состав ВТК'!$B259,'Расчет участников НИР'!$V$10='Состав ВТК'!$I259),$E266,0),2),"-")</f>
        <v>0</v>
      </c>
      <c r="W266" s="301" t="str">
        <f t="shared" si="43"/>
        <v>-</v>
      </c>
      <c r="X266" s="301" t="str">
        <f t="shared" si="44"/>
        <v>-</v>
      </c>
      <c r="Y266" s="301" t="str">
        <f t="shared" si="45"/>
        <v>-</v>
      </c>
    </row>
    <row r="267" spans="1:25" x14ac:dyDescent="0.25">
      <c r="A267" s="217">
        <f>'Состав ВТК'!B260</f>
        <v>0</v>
      </c>
      <c r="B267" s="290">
        <f>IFERROR(VLOOKUP($A267,Распределение!$B$13:$L$113,11,FALSE),"-")</f>
        <v>0</v>
      </c>
      <c r="C267" s="291" t="str">
        <f>IFERROR(IF(VLOOKUP($B267,Расценка!$H$3:$I$9,2,FALSE)="НС",Расценка!$T$11,Расценка!$T$12),"-")</f>
        <v>-</v>
      </c>
      <c r="D267" s="291">
        <f>IFERROR(INDEX(Распределение!$1:$1048576,MATCH($A267,Распределение!$B:$B,0),MATCH($D$8,Распределение!$9:$9,0)),"---")</f>
        <v>0</v>
      </c>
      <c r="E267" s="292">
        <f>IFERROR(SUMIFS('Трудозатраты членов ВТК'!$G$17:$G$117,'Трудозатраты членов ВТК'!$D$17:$D$117,A:A),"-")</f>
        <v>0</v>
      </c>
      <c r="F267" s="293">
        <f>IFERROR(SUMIFS('Трудозатраты членов ВТК'!$F$464:$F$713,'Трудозатраты членов ВТК'!$D$464:$D$713,A:A),"-")</f>
        <v>0</v>
      </c>
      <c r="G267" s="302"/>
      <c r="H267" s="295">
        <f t="shared" si="39"/>
        <v>0</v>
      </c>
      <c r="I267" s="296">
        <f>IFERROR(ROUND(IF('Состав ВТК'!$K260=справочник!$A$5,IF(AND('Расчет участников НИР'!$A267='Состав ВТК'!$B260,$I$10='Состав ВТК'!$I260),$F267*$D267*VLOOKUP('Расчет участников НИР'!$B267,Расценка!$C$3:$E$13,3,FALSE),0),0),2),"-")</f>
        <v>0</v>
      </c>
      <c r="J267" s="296">
        <f>IFERROR(ROUND(IF('Состав ВТК'!$K260=справочник!$A$5,IF(AND('Расчет участников НИР'!$A267='Состав ВТК'!$B260,$J$10='Состав ВТК'!$I260),$F267*$D267*VLOOKUP('Расчет участников НИР'!$B267,Расценка!$C$3:$E$13,3,FALSE),0),0),2),"-")</f>
        <v>0</v>
      </c>
      <c r="K267" s="296">
        <f>IFERROR(ROUND(IF('Состав ВТК'!$K260=справочник!$A$5,IF(AND('Расчет участников НИР'!$A267='Состав ВТК'!$B260,$K$10='Состав ВТК'!$I260),$F267*$D267*VLOOKUP('Расчет участников НИР'!$B267,Расценка!$C$3:$E$13,3,FALSE),0),0),2),"-")</f>
        <v>0</v>
      </c>
      <c r="L267" s="297"/>
      <c r="M267" s="295">
        <f t="shared" si="40"/>
        <v>0</v>
      </c>
      <c r="N267" s="298">
        <f>IFERROR(ROUND(IF('Состав ВТК'!$K260=справочник!$A$5,(IF(AND($A267='Состав ВТК'!$B260,$N$10=$C267),$F267*$D267*VLOOKUP($B267,Расценка!$H$3:$K$9,4,FALSE),0)),0),2),"-")</f>
        <v>0</v>
      </c>
      <c r="O267" s="298">
        <f>IFERROR(ROUND(IF('Состав ВТК'!$K260=справочник!$A$5,(IF(AND($A267='Состав ВТК'!$B260,$O$10=$C267),$F267*$D267*VLOOKUP($B267,Расценка!$H$3:$K$9,4,FALSE),0)),0),2),"-")</f>
        <v>0</v>
      </c>
      <c r="P267" s="299">
        <f t="shared" si="41"/>
        <v>0</v>
      </c>
      <c r="Q267" s="300">
        <f t="shared" si="37"/>
        <v>0</v>
      </c>
      <c r="R267" s="300">
        <f t="shared" si="38"/>
        <v>0</v>
      </c>
      <c r="S267" s="295">
        <f t="shared" si="42"/>
        <v>0</v>
      </c>
      <c r="T267" s="298">
        <f>IFERROR(ROUND(IF(AND('Расчет участников НИР'!$A267='Состав ВТК'!$B260,'Расчет участников НИР'!$T$10='Состав ВТК'!$I260),$E267,0),2),"-")</f>
        <v>0</v>
      </c>
      <c r="U267" s="298">
        <f>IFERROR(ROUND(IF(AND('Расчет участников НИР'!$A267='Состав ВТК'!$B260,'Расчет участников НИР'!$U$10='Состав ВТК'!$I260),$E267,0),2),"-")</f>
        <v>0</v>
      </c>
      <c r="V267" s="298">
        <f>IFERROR(ROUND(IF(AND('Расчет участников НИР'!$A267='Состав ВТК'!$B260,'Расчет участников НИР'!$V$10='Состав ВТК'!$I260),$E267,0),2),"-")</f>
        <v>0</v>
      </c>
      <c r="W267" s="301" t="str">
        <f t="shared" si="43"/>
        <v>-</v>
      </c>
      <c r="X267" s="301" t="str">
        <f t="shared" si="44"/>
        <v>-</v>
      </c>
      <c r="Y267" s="301" t="str">
        <f t="shared" si="45"/>
        <v>-</v>
      </c>
    </row>
    <row r="268" spans="1:25" x14ac:dyDescent="0.25">
      <c r="A268" s="217">
        <f>'Состав ВТК'!B261</f>
        <v>0</v>
      </c>
      <c r="B268" s="290">
        <f>IFERROR(VLOOKUP($A268,Распределение!$B$13:$L$113,11,FALSE),"-")</f>
        <v>0</v>
      </c>
      <c r="C268" s="291" t="str">
        <f>IFERROR(IF(VLOOKUP($B268,Расценка!$H$3:$I$9,2,FALSE)="НС",Расценка!$T$11,Расценка!$T$12),"-")</f>
        <v>-</v>
      </c>
      <c r="D268" s="291">
        <f>IFERROR(INDEX(Распределение!$1:$1048576,MATCH($A268,Распределение!$B:$B,0),MATCH($D$8,Распределение!$9:$9,0)),"---")</f>
        <v>0</v>
      </c>
      <c r="E268" s="292">
        <f>IFERROR(SUMIFS('Трудозатраты членов ВТК'!$G$17:$G$117,'Трудозатраты членов ВТК'!$D$17:$D$117,A:A),"-")</f>
        <v>0</v>
      </c>
      <c r="F268" s="293">
        <f>IFERROR(SUMIFS('Трудозатраты членов ВТК'!$F$464:$F$713,'Трудозатраты членов ВТК'!$D$464:$D$713,A:A),"-")</f>
        <v>0</v>
      </c>
      <c r="G268" s="302"/>
      <c r="H268" s="295">
        <f t="shared" si="39"/>
        <v>0</v>
      </c>
      <c r="I268" s="296">
        <f>IFERROR(ROUND(IF('Состав ВТК'!$K261=справочник!$A$5,IF(AND('Расчет участников НИР'!$A268='Состав ВТК'!$B261,$I$10='Состав ВТК'!$I261),$F268*$D268*VLOOKUP('Расчет участников НИР'!$B268,Расценка!$C$3:$E$13,3,FALSE),0),0),2),"-")</f>
        <v>0</v>
      </c>
      <c r="J268" s="296">
        <f>IFERROR(ROUND(IF('Состав ВТК'!$K261=справочник!$A$5,IF(AND('Расчет участников НИР'!$A268='Состав ВТК'!$B261,$J$10='Состав ВТК'!$I261),$F268*$D268*VLOOKUP('Расчет участников НИР'!$B268,Расценка!$C$3:$E$13,3,FALSE),0),0),2),"-")</f>
        <v>0</v>
      </c>
      <c r="K268" s="296">
        <f>IFERROR(ROUND(IF('Состав ВТК'!$K261=справочник!$A$5,IF(AND('Расчет участников НИР'!$A268='Состав ВТК'!$B261,$K$10='Состав ВТК'!$I261),$F268*$D268*VLOOKUP('Расчет участников НИР'!$B268,Расценка!$C$3:$E$13,3,FALSE),0),0),2),"-")</f>
        <v>0</v>
      </c>
      <c r="L268" s="297"/>
      <c r="M268" s="295">
        <f t="shared" si="40"/>
        <v>0</v>
      </c>
      <c r="N268" s="298">
        <f>IFERROR(ROUND(IF('Состав ВТК'!$K261=справочник!$A$5,(IF(AND($A268='Состав ВТК'!$B261,$N$10=$C268),$F268*$D268*VLOOKUP($B268,Расценка!$H$3:$K$9,4,FALSE),0)),0),2),"-")</f>
        <v>0</v>
      </c>
      <c r="O268" s="298">
        <f>IFERROR(ROUND(IF('Состав ВТК'!$K261=справочник!$A$5,(IF(AND($A268='Состав ВТК'!$B261,$O$10=$C268),$F268*$D268*VLOOKUP($B268,Расценка!$H$3:$K$9,4,FALSE),0)),0),2),"-")</f>
        <v>0</v>
      </c>
      <c r="P268" s="299">
        <f t="shared" si="41"/>
        <v>0</v>
      </c>
      <c r="Q268" s="300">
        <f t="shared" si="37"/>
        <v>0</v>
      </c>
      <c r="R268" s="300">
        <f t="shared" si="38"/>
        <v>0</v>
      </c>
      <c r="S268" s="295">
        <f t="shared" si="42"/>
        <v>0</v>
      </c>
      <c r="T268" s="298">
        <f>IFERROR(ROUND(IF(AND('Расчет участников НИР'!$A268='Состав ВТК'!$B261,'Расчет участников НИР'!$T$10='Состав ВТК'!$I261),$E268,0),2),"-")</f>
        <v>0</v>
      </c>
      <c r="U268" s="298">
        <f>IFERROR(ROUND(IF(AND('Расчет участников НИР'!$A268='Состав ВТК'!$B261,'Расчет участников НИР'!$U$10='Состав ВТК'!$I261),$E268,0),2),"-")</f>
        <v>0</v>
      </c>
      <c r="V268" s="298">
        <f>IFERROR(ROUND(IF(AND('Расчет участников НИР'!$A268='Состав ВТК'!$B261,'Расчет участников НИР'!$V$10='Состав ВТК'!$I261),$E268,0),2),"-")</f>
        <v>0</v>
      </c>
      <c r="W268" s="301" t="str">
        <f t="shared" si="43"/>
        <v>-</v>
      </c>
      <c r="X268" s="301" t="str">
        <f t="shared" si="44"/>
        <v>-</v>
      </c>
      <c r="Y268" s="301" t="str">
        <f t="shared" si="45"/>
        <v>-</v>
      </c>
    </row>
    <row r="269" spans="1:25" x14ac:dyDescent="0.25">
      <c r="A269" s="217">
        <f>'Состав ВТК'!B262</f>
        <v>0</v>
      </c>
      <c r="B269" s="290">
        <f>IFERROR(VLOOKUP($A269,Распределение!$B$13:$L$113,11,FALSE),"-")</f>
        <v>0</v>
      </c>
      <c r="C269" s="291" t="str">
        <f>IFERROR(IF(VLOOKUP($B269,Расценка!$H$3:$I$9,2,FALSE)="НС",Расценка!$T$11,Расценка!$T$12),"-")</f>
        <v>-</v>
      </c>
      <c r="D269" s="291">
        <f>IFERROR(INDEX(Распределение!$1:$1048576,MATCH($A269,Распределение!$B:$B,0),MATCH($D$8,Распределение!$9:$9,0)),"---")</f>
        <v>0</v>
      </c>
      <c r="E269" s="292">
        <f>IFERROR(SUMIFS('Трудозатраты членов ВТК'!$G$17:$G$117,'Трудозатраты членов ВТК'!$D$17:$D$117,A:A),"-")</f>
        <v>0</v>
      </c>
      <c r="F269" s="293">
        <f>IFERROR(SUMIFS('Трудозатраты членов ВТК'!$F$464:$F$713,'Трудозатраты членов ВТК'!$D$464:$D$713,A:A),"-")</f>
        <v>0</v>
      </c>
      <c r="G269" s="302"/>
      <c r="H269" s="295">
        <f t="shared" si="39"/>
        <v>0</v>
      </c>
      <c r="I269" s="296">
        <f>IFERROR(ROUND(IF('Состав ВТК'!$K262=справочник!$A$5,IF(AND('Расчет участников НИР'!$A269='Состав ВТК'!$B262,$I$10='Состав ВТК'!$I262),$F269*$D269*VLOOKUP('Расчет участников НИР'!$B269,Расценка!$C$3:$E$13,3,FALSE),0),0),2),"-")</f>
        <v>0</v>
      </c>
      <c r="J269" s="296">
        <f>IFERROR(ROUND(IF('Состав ВТК'!$K262=справочник!$A$5,IF(AND('Расчет участников НИР'!$A269='Состав ВТК'!$B262,$J$10='Состав ВТК'!$I262),$F269*$D269*VLOOKUP('Расчет участников НИР'!$B269,Расценка!$C$3:$E$13,3,FALSE),0),0),2),"-")</f>
        <v>0</v>
      </c>
      <c r="K269" s="296">
        <f>IFERROR(ROUND(IF('Состав ВТК'!$K262=справочник!$A$5,IF(AND('Расчет участников НИР'!$A269='Состав ВТК'!$B262,$K$10='Состав ВТК'!$I262),$F269*$D269*VLOOKUP('Расчет участников НИР'!$B269,Расценка!$C$3:$E$13,3,FALSE),0),0),2),"-")</f>
        <v>0</v>
      </c>
      <c r="L269" s="297"/>
      <c r="M269" s="295">
        <f t="shared" si="40"/>
        <v>0</v>
      </c>
      <c r="N269" s="298">
        <f>IFERROR(ROUND(IF('Состав ВТК'!$K262=справочник!$A$5,(IF(AND($A269='Состав ВТК'!$B262,$N$10=$C269),$F269*$D269*VLOOKUP($B269,Расценка!$H$3:$K$9,4,FALSE),0)),0),2),"-")</f>
        <v>0</v>
      </c>
      <c r="O269" s="298">
        <f>IFERROR(ROUND(IF('Состав ВТК'!$K262=справочник!$A$5,(IF(AND($A269='Состав ВТК'!$B262,$O$10=$C269),$F269*$D269*VLOOKUP($B269,Расценка!$H$3:$K$9,4,FALSE),0)),0),2),"-")</f>
        <v>0</v>
      </c>
      <c r="P269" s="299">
        <f t="shared" si="41"/>
        <v>0</v>
      </c>
      <c r="Q269" s="300">
        <f t="shared" si="37"/>
        <v>0</v>
      </c>
      <c r="R269" s="300">
        <f t="shared" si="38"/>
        <v>0</v>
      </c>
      <c r="S269" s="295">
        <f t="shared" si="42"/>
        <v>0</v>
      </c>
      <c r="T269" s="298">
        <f>IFERROR(ROUND(IF(AND('Расчет участников НИР'!$A269='Состав ВТК'!$B262,'Расчет участников НИР'!$T$10='Состав ВТК'!$I262),$E269,0),2),"-")</f>
        <v>0</v>
      </c>
      <c r="U269" s="298">
        <f>IFERROR(ROUND(IF(AND('Расчет участников НИР'!$A269='Состав ВТК'!$B262,'Расчет участников НИР'!$U$10='Состав ВТК'!$I262),$E269,0),2),"-")</f>
        <v>0</v>
      </c>
      <c r="V269" s="298">
        <f>IFERROR(ROUND(IF(AND('Расчет участников НИР'!$A269='Состав ВТК'!$B262,'Расчет участников НИР'!$V$10='Состав ВТК'!$I262),$E269,0),2),"-")</f>
        <v>0</v>
      </c>
      <c r="W269" s="301" t="str">
        <f t="shared" si="43"/>
        <v>-</v>
      </c>
      <c r="X269" s="301" t="str">
        <f t="shared" si="44"/>
        <v>-</v>
      </c>
      <c r="Y269" s="301" t="str">
        <f t="shared" si="45"/>
        <v>-</v>
      </c>
    </row>
    <row r="270" spans="1:25" x14ac:dyDescent="0.25">
      <c r="A270" s="217">
        <f>'Состав ВТК'!B263</f>
        <v>0</v>
      </c>
      <c r="B270" s="290">
        <f>IFERROR(VLOOKUP($A270,Распределение!$B$13:$L$113,11,FALSE),"-")</f>
        <v>0</v>
      </c>
      <c r="C270" s="291" t="str">
        <f>IFERROR(IF(VLOOKUP($B270,Расценка!$H$3:$I$9,2,FALSE)="НС",Расценка!$T$11,Расценка!$T$12),"-")</f>
        <v>-</v>
      </c>
      <c r="D270" s="291">
        <f>IFERROR(INDEX(Распределение!$1:$1048576,MATCH($A270,Распределение!$B:$B,0),MATCH($D$8,Распределение!$9:$9,0)),"---")</f>
        <v>0</v>
      </c>
      <c r="E270" s="292">
        <f>IFERROR(SUMIFS('Трудозатраты членов ВТК'!$G$17:$G$117,'Трудозатраты членов ВТК'!$D$17:$D$117,A:A),"-")</f>
        <v>0</v>
      </c>
      <c r="F270" s="293">
        <f>IFERROR(SUMIFS('Трудозатраты членов ВТК'!$F$464:$F$713,'Трудозатраты членов ВТК'!$D$464:$D$713,A:A),"-")</f>
        <v>0</v>
      </c>
      <c r="G270" s="302"/>
      <c r="H270" s="295">
        <f t="shared" si="39"/>
        <v>0</v>
      </c>
      <c r="I270" s="296">
        <f>IFERROR(ROUND(IF('Состав ВТК'!$K263=справочник!$A$5,IF(AND('Расчет участников НИР'!$A270='Состав ВТК'!$B263,$I$10='Состав ВТК'!$I263),$F270*$D270*VLOOKUP('Расчет участников НИР'!$B270,Расценка!$C$3:$E$13,3,FALSE),0),0),2),"-")</f>
        <v>0</v>
      </c>
      <c r="J270" s="296">
        <f>IFERROR(ROUND(IF('Состав ВТК'!$K263=справочник!$A$5,IF(AND('Расчет участников НИР'!$A270='Состав ВТК'!$B263,$J$10='Состав ВТК'!$I263),$F270*$D270*VLOOKUP('Расчет участников НИР'!$B270,Расценка!$C$3:$E$13,3,FALSE),0),0),2),"-")</f>
        <v>0</v>
      </c>
      <c r="K270" s="296">
        <f>IFERROR(ROUND(IF('Состав ВТК'!$K263=справочник!$A$5,IF(AND('Расчет участников НИР'!$A270='Состав ВТК'!$B263,$K$10='Состав ВТК'!$I263),$F270*$D270*VLOOKUP('Расчет участников НИР'!$B270,Расценка!$C$3:$E$13,3,FALSE),0),0),2),"-")</f>
        <v>0</v>
      </c>
      <c r="L270" s="297"/>
      <c r="M270" s="295">
        <f t="shared" si="40"/>
        <v>0</v>
      </c>
      <c r="N270" s="298">
        <f>IFERROR(ROUND(IF('Состав ВТК'!$K263=справочник!$A$5,(IF(AND($A270='Состав ВТК'!$B263,$N$10=$C270),$F270*$D270*VLOOKUP($B270,Расценка!$H$3:$K$9,4,FALSE),0)),0),2),"-")</f>
        <v>0</v>
      </c>
      <c r="O270" s="298">
        <f>IFERROR(ROUND(IF('Состав ВТК'!$K263=справочник!$A$5,(IF(AND($A270='Состав ВТК'!$B263,$O$10=$C270),$F270*$D270*VLOOKUP($B270,Расценка!$H$3:$K$9,4,FALSE),0)),0),2),"-")</f>
        <v>0</v>
      </c>
      <c r="P270" s="299">
        <f t="shared" si="41"/>
        <v>0</v>
      </c>
      <c r="Q270" s="300">
        <f t="shared" si="37"/>
        <v>0</v>
      </c>
      <c r="R270" s="300">
        <f t="shared" si="38"/>
        <v>0</v>
      </c>
      <c r="S270" s="295">
        <f t="shared" si="42"/>
        <v>0</v>
      </c>
      <c r="T270" s="298">
        <f>IFERROR(ROUND(IF(AND('Расчет участников НИР'!$A270='Состав ВТК'!$B263,'Расчет участников НИР'!$T$10='Состав ВТК'!$I263),$E270,0),2),"-")</f>
        <v>0</v>
      </c>
      <c r="U270" s="298">
        <f>IFERROR(ROUND(IF(AND('Расчет участников НИР'!$A270='Состав ВТК'!$B263,'Расчет участников НИР'!$U$10='Состав ВТК'!$I263),$E270,0),2),"-")</f>
        <v>0</v>
      </c>
      <c r="V270" s="298">
        <f>IFERROR(ROUND(IF(AND('Расчет участников НИР'!$A270='Состав ВТК'!$B263,'Расчет участников НИР'!$V$10='Состав ВТК'!$I263),$E270,0),2),"-")</f>
        <v>0</v>
      </c>
      <c r="W270" s="301" t="str">
        <f t="shared" si="43"/>
        <v>-</v>
      </c>
      <c r="X270" s="301" t="str">
        <f t="shared" si="44"/>
        <v>-</v>
      </c>
      <c r="Y270" s="301" t="str">
        <f t="shared" si="45"/>
        <v>-</v>
      </c>
    </row>
    <row r="271" spans="1:25" x14ac:dyDescent="0.25">
      <c r="A271" s="217">
        <f>'Состав ВТК'!B264</f>
        <v>0</v>
      </c>
      <c r="B271" s="290">
        <f>IFERROR(VLOOKUP($A271,Распределение!$B$13:$L$113,11,FALSE),"-")</f>
        <v>0</v>
      </c>
      <c r="C271" s="291" t="str">
        <f>IFERROR(IF(VLOOKUP($B271,Расценка!$H$3:$I$9,2,FALSE)="НС",Расценка!$T$11,Расценка!$T$12),"-")</f>
        <v>-</v>
      </c>
      <c r="D271" s="291">
        <f>IFERROR(INDEX(Распределение!$1:$1048576,MATCH($A271,Распределение!$B:$B,0),MATCH($D$8,Распределение!$9:$9,0)),"---")</f>
        <v>0</v>
      </c>
      <c r="E271" s="292">
        <f>IFERROR(SUMIFS('Трудозатраты членов ВТК'!$G$17:$G$117,'Трудозатраты членов ВТК'!$D$17:$D$117,A:A),"-")</f>
        <v>0</v>
      </c>
      <c r="F271" s="293">
        <f>IFERROR(SUMIFS('Трудозатраты членов ВТК'!$F$464:$F$713,'Трудозатраты членов ВТК'!$D$464:$D$713,A:A),"-")</f>
        <v>0</v>
      </c>
      <c r="G271" s="302"/>
      <c r="H271" s="295">
        <f t="shared" si="39"/>
        <v>0</v>
      </c>
      <c r="I271" s="296">
        <f>IFERROR(ROUND(IF('Состав ВТК'!$K264=справочник!$A$5,IF(AND('Расчет участников НИР'!$A271='Состав ВТК'!$B264,$I$10='Состав ВТК'!$I264),$F271*$D271*VLOOKUP('Расчет участников НИР'!$B271,Расценка!$C$3:$E$13,3,FALSE),0),0),2),"-")</f>
        <v>0</v>
      </c>
      <c r="J271" s="296">
        <f>IFERROR(ROUND(IF('Состав ВТК'!$K264=справочник!$A$5,IF(AND('Расчет участников НИР'!$A271='Состав ВТК'!$B264,$J$10='Состав ВТК'!$I264),$F271*$D271*VLOOKUP('Расчет участников НИР'!$B271,Расценка!$C$3:$E$13,3,FALSE),0),0),2),"-")</f>
        <v>0</v>
      </c>
      <c r="K271" s="296">
        <f>IFERROR(ROUND(IF('Состав ВТК'!$K264=справочник!$A$5,IF(AND('Расчет участников НИР'!$A271='Состав ВТК'!$B264,$K$10='Состав ВТК'!$I264),$F271*$D271*VLOOKUP('Расчет участников НИР'!$B271,Расценка!$C$3:$E$13,3,FALSE),0),0),2),"-")</f>
        <v>0</v>
      </c>
      <c r="L271" s="297"/>
      <c r="M271" s="295">
        <f t="shared" si="40"/>
        <v>0</v>
      </c>
      <c r="N271" s="298">
        <f>IFERROR(ROUND(IF('Состав ВТК'!$K264=справочник!$A$5,(IF(AND($A271='Состав ВТК'!$B264,$N$10=$C271),$F271*$D271*VLOOKUP($B271,Расценка!$H$3:$K$9,4,FALSE),0)),0),2),"-")</f>
        <v>0</v>
      </c>
      <c r="O271" s="298">
        <f>IFERROR(ROUND(IF('Состав ВТК'!$K264=справочник!$A$5,(IF(AND($A271='Состав ВТК'!$B264,$O$10=$C271),$F271*$D271*VLOOKUP($B271,Расценка!$H$3:$K$9,4,FALSE),0)),0),2),"-")</f>
        <v>0</v>
      </c>
      <c r="P271" s="299">
        <f t="shared" si="41"/>
        <v>0</v>
      </c>
      <c r="Q271" s="300">
        <f t="shared" si="37"/>
        <v>0</v>
      </c>
      <c r="R271" s="300">
        <f t="shared" si="38"/>
        <v>0</v>
      </c>
      <c r="S271" s="295">
        <f t="shared" si="42"/>
        <v>0</v>
      </c>
      <c r="T271" s="298">
        <f>IFERROR(ROUND(IF(AND('Расчет участников НИР'!$A271='Состав ВТК'!$B264,'Расчет участников НИР'!$T$10='Состав ВТК'!$I264),$E271,0),2),"-")</f>
        <v>0</v>
      </c>
      <c r="U271" s="298">
        <f>IFERROR(ROUND(IF(AND('Расчет участников НИР'!$A271='Состав ВТК'!$B264,'Расчет участников НИР'!$U$10='Состав ВТК'!$I264),$E271,0),2),"-")</f>
        <v>0</v>
      </c>
      <c r="V271" s="298">
        <f>IFERROR(ROUND(IF(AND('Расчет участников НИР'!$A271='Состав ВТК'!$B264,'Расчет участников НИР'!$V$10='Состав ВТК'!$I264),$E271,0),2),"-")</f>
        <v>0</v>
      </c>
      <c r="W271" s="301" t="str">
        <f t="shared" si="43"/>
        <v>-</v>
      </c>
      <c r="X271" s="301" t="str">
        <f t="shared" si="44"/>
        <v>-</v>
      </c>
      <c r="Y271" s="301" t="str">
        <f t="shared" si="45"/>
        <v>-</v>
      </c>
    </row>
    <row r="272" spans="1:25" x14ac:dyDescent="0.25">
      <c r="A272" s="217">
        <f>'Состав ВТК'!B265</f>
        <v>0</v>
      </c>
      <c r="B272" s="290">
        <f>IFERROR(VLOOKUP($A272,Распределение!$B$13:$L$113,11,FALSE),"-")</f>
        <v>0</v>
      </c>
      <c r="C272" s="291" t="str">
        <f>IFERROR(IF(VLOOKUP($B272,Расценка!$H$3:$I$9,2,FALSE)="НС",Расценка!$T$11,Расценка!$T$12),"-")</f>
        <v>-</v>
      </c>
      <c r="D272" s="291">
        <f>IFERROR(INDEX(Распределение!$1:$1048576,MATCH($A272,Распределение!$B:$B,0),MATCH($D$8,Распределение!$9:$9,0)),"---")</f>
        <v>0</v>
      </c>
      <c r="E272" s="292">
        <f>IFERROR(SUMIFS('Трудозатраты членов ВТК'!$G$17:$G$117,'Трудозатраты членов ВТК'!$D$17:$D$117,A:A),"-")</f>
        <v>0</v>
      </c>
      <c r="F272" s="293">
        <f>IFERROR(SUMIFS('Трудозатраты членов ВТК'!$F$464:$F$713,'Трудозатраты членов ВТК'!$D$464:$D$713,A:A),"-")</f>
        <v>0</v>
      </c>
      <c r="G272" s="302"/>
      <c r="H272" s="295">
        <f t="shared" si="39"/>
        <v>0</v>
      </c>
      <c r="I272" s="296">
        <f>IFERROR(ROUND(IF('Состав ВТК'!$K265=справочник!$A$5,IF(AND('Расчет участников НИР'!$A272='Состав ВТК'!$B265,$I$10='Состав ВТК'!$I265),$F272*$D272*VLOOKUP('Расчет участников НИР'!$B272,Расценка!$C$3:$E$13,3,FALSE),0),0),2),"-")</f>
        <v>0</v>
      </c>
      <c r="J272" s="296">
        <f>IFERROR(ROUND(IF('Состав ВТК'!$K265=справочник!$A$5,IF(AND('Расчет участников НИР'!$A272='Состав ВТК'!$B265,$J$10='Состав ВТК'!$I265),$F272*$D272*VLOOKUP('Расчет участников НИР'!$B272,Расценка!$C$3:$E$13,3,FALSE),0),0),2),"-")</f>
        <v>0</v>
      </c>
      <c r="K272" s="296">
        <f>IFERROR(ROUND(IF('Состав ВТК'!$K265=справочник!$A$5,IF(AND('Расчет участников НИР'!$A272='Состав ВТК'!$B265,$K$10='Состав ВТК'!$I265),$F272*$D272*VLOOKUP('Расчет участников НИР'!$B272,Расценка!$C$3:$E$13,3,FALSE),0),0),2),"-")</f>
        <v>0</v>
      </c>
      <c r="L272" s="297"/>
      <c r="M272" s="295">
        <f t="shared" si="40"/>
        <v>0</v>
      </c>
      <c r="N272" s="298">
        <f>IFERROR(ROUND(IF('Состав ВТК'!$K265=справочник!$A$5,(IF(AND($A272='Состав ВТК'!$B265,$N$10=$C272),$F272*$D272*VLOOKUP($B272,Расценка!$H$3:$K$9,4,FALSE),0)),0),2),"-")</f>
        <v>0</v>
      </c>
      <c r="O272" s="298">
        <f>IFERROR(ROUND(IF('Состав ВТК'!$K265=справочник!$A$5,(IF(AND($A272='Состав ВТК'!$B265,$O$10=$C272),$F272*$D272*VLOOKUP($B272,Расценка!$H$3:$K$9,4,FALSE),0)),0),2),"-")</f>
        <v>0</v>
      </c>
      <c r="P272" s="299">
        <f t="shared" si="41"/>
        <v>0</v>
      </c>
      <c r="Q272" s="300">
        <f t="shared" si="37"/>
        <v>0</v>
      </c>
      <c r="R272" s="300">
        <f t="shared" si="38"/>
        <v>0</v>
      </c>
      <c r="S272" s="295">
        <f t="shared" si="42"/>
        <v>0</v>
      </c>
      <c r="T272" s="298">
        <f>IFERROR(ROUND(IF(AND('Расчет участников НИР'!$A272='Состав ВТК'!$B265,'Расчет участников НИР'!$T$10='Состав ВТК'!$I265),$E272,0),2),"-")</f>
        <v>0</v>
      </c>
      <c r="U272" s="298">
        <f>IFERROR(ROUND(IF(AND('Расчет участников НИР'!$A272='Состав ВТК'!$B265,'Расчет участников НИР'!$U$10='Состав ВТК'!$I265),$E272,0),2),"-")</f>
        <v>0</v>
      </c>
      <c r="V272" s="298">
        <f>IFERROR(ROUND(IF(AND('Расчет участников НИР'!$A272='Состав ВТК'!$B265,'Расчет участников НИР'!$V$10='Состав ВТК'!$I265),$E272,0),2),"-")</f>
        <v>0</v>
      </c>
      <c r="W272" s="301" t="str">
        <f t="shared" si="43"/>
        <v>-</v>
      </c>
      <c r="X272" s="301" t="str">
        <f t="shared" si="44"/>
        <v>-</v>
      </c>
      <c r="Y272" s="301" t="str">
        <f t="shared" si="45"/>
        <v>-</v>
      </c>
    </row>
    <row r="273" spans="1:25" x14ac:dyDescent="0.25">
      <c r="A273" s="217">
        <f>'Состав ВТК'!B266</f>
        <v>0</v>
      </c>
      <c r="B273" s="290">
        <f>IFERROR(VLOOKUP($A273,Распределение!$B$13:$L$113,11,FALSE),"-")</f>
        <v>0</v>
      </c>
      <c r="C273" s="291" t="str">
        <f>IFERROR(IF(VLOOKUP($B273,Расценка!$H$3:$I$9,2,FALSE)="НС",Расценка!$T$11,Расценка!$T$12),"-")</f>
        <v>-</v>
      </c>
      <c r="D273" s="291">
        <f>IFERROR(INDEX(Распределение!$1:$1048576,MATCH($A273,Распределение!$B:$B,0),MATCH($D$8,Распределение!$9:$9,0)),"---")</f>
        <v>0</v>
      </c>
      <c r="E273" s="292">
        <f>IFERROR(SUMIFS('Трудозатраты членов ВТК'!$G$17:$G$117,'Трудозатраты членов ВТК'!$D$17:$D$117,A:A),"-")</f>
        <v>0</v>
      </c>
      <c r="F273" s="293">
        <f>IFERROR(SUMIFS('Трудозатраты членов ВТК'!$F$464:$F$713,'Трудозатраты членов ВТК'!$D$464:$D$713,A:A),"-")</f>
        <v>0</v>
      </c>
      <c r="G273" s="302"/>
      <c r="H273" s="295">
        <f t="shared" si="39"/>
        <v>0</v>
      </c>
      <c r="I273" s="296">
        <f>IFERROR(ROUND(IF('Состав ВТК'!$K266=справочник!$A$5,IF(AND('Расчет участников НИР'!$A273='Состав ВТК'!$B266,$I$10='Состав ВТК'!$I266),$F273*$D273*VLOOKUP('Расчет участников НИР'!$B273,Расценка!$C$3:$E$13,3,FALSE),0),0),2),"-")</f>
        <v>0</v>
      </c>
      <c r="J273" s="296">
        <f>IFERROR(ROUND(IF('Состав ВТК'!$K266=справочник!$A$5,IF(AND('Расчет участников НИР'!$A273='Состав ВТК'!$B266,$J$10='Состав ВТК'!$I266),$F273*$D273*VLOOKUP('Расчет участников НИР'!$B273,Расценка!$C$3:$E$13,3,FALSE),0),0),2),"-")</f>
        <v>0</v>
      </c>
      <c r="K273" s="296">
        <f>IFERROR(ROUND(IF('Состав ВТК'!$K266=справочник!$A$5,IF(AND('Расчет участников НИР'!$A273='Состав ВТК'!$B266,$K$10='Состав ВТК'!$I266),$F273*$D273*VLOOKUP('Расчет участников НИР'!$B273,Расценка!$C$3:$E$13,3,FALSE),0),0),2),"-")</f>
        <v>0</v>
      </c>
      <c r="L273" s="297"/>
      <c r="M273" s="295">
        <f t="shared" si="40"/>
        <v>0</v>
      </c>
      <c r="N273" s="298">
        <f>IFERROR(ROUND(IF('Состав ВТК'!$K266=справочник!$A$5,(IF(AND($A273='Состав ВТК'!$B266,$N$10=$C273),$F273*$D273*VLOOKUP($B273,Расценка!$H$3:$K$9,4,FALSE),0)),0),2),"-")</f>
        <v>0</v>
      </c>
      <c r="O273" s="298">
        <f>IFERROR(ROUND(IF('Состав ВТК'!$K266=справочник!$A$5,(IF(AND($A273='Состав ВТК'!$B266,$O$10=$C273),$F273*$D273*VLOOKUP($B273,Расценка!$H$3:$K$9,4,FALSE),0)),0),2),"-")</f>
        <v>0</v>
      </c>
      <c r="P273" s="299">
        <f t="shared" si="41"/>
        <v>0</v>
      </c>
      <c r="Q273" s="300">
        <f t="shared" ref="Q273:Q336" si="46">ROUND($P273*$Q$13,2)</f>
        <v>0</v>
      </c>
      <c r="R273" s="300">
        <f t="shared" ref="R273:R336" si="47">ROUND($P273*$R$13,2)</f>
        <v>0</v>
      </c>
      <c r="S273" s="295">
        <f t="shared" si="42"/>
        <v>0</v>
      </c>
      <c r="T273" s="298">
        <f>IFERROR(ROUND(IF(AND('Расчет участников НИР'!$A273='Состав ВТК'!$B266,'Расчет участников НИР'!$T$10='Состав ВТК'!$I266),$E273,0),2),"-")</f>
        <v>0</v>
      </c>
      <c r="U273" s="298">
        <f>IFERROR(ROUND(IF(AND('Расчет участников НИР'!$A273='Состав ВТК'!$B266,'Расчет участников НИР'!$U$10='Состав ВТК'!$I266),$E273,0),2),"-")</f>
        <v>0</v>
      </c>
      <c r="V273" s="298">
        <f>IFERROR(ROUND(IF(AND('Расчет участников НИР'!$A273='Состав ВТК'!$B266,'Расчет участников НИР'!$V$10='Состав ВТК'!$I266),$E273,0),2),"-")</f>
        <v>0</v>
      </c>
      <c r="W273" s="301" t="str">
        <f t="shared" si="43"/>
        <v>-</v>
      </c>
      <c r="X273" s="301" t="str">
        <f t="shared" si="44"/>
        <v>-</v>
      </c>
      <c r="Y273" s="301" t="str">
        <f t="shared" si="45"/>
        <v>-</v>
      </c>
    </row>
    <row r="274" spans="1:25" x14ac:dyDescent="0.25">
      <c r="A274" s="217">
        <f>'Состав ВТК'!B267</f>
        <v>0</v>
      </c>
      <c r="B274" s="290">
        <f>IFERROR(VLOOKUP($A274,Распределение!$B$13:$L$113,11,FALSE),"-")</f>
        <v>0</v>
      </c>
      <c r="C274" s="291" t="str">
        <f>IFERROR(IF(VLOOKUP($B274,Расценка!$H$3:$I$9,2,FALSE)="НС",Расценка!$T$11,Расценка!$T$12),"-")</f>
        <v>-</v>
      </c>
      <c r="D274" s="291">
        <f>IFERROR(INDEX(Распределение!$1:$1048576,MATCH($A274,Распределение!$B:$B,0),MATCH($D$8,Распределение!$9:$9,0)),"---")</f>
        <v>0</v>
      </c>
      <c r="E274" s="292">
        <f>IFERROR(SUMIFS('Трудозатраты членов ВТК'!$G$17:$G$117,'Трудозатраты членов ВТК'!$D$17:$D$117,A:A),"-")</f>
        <v>0</v>
      </c>
      <c r="F274" s="293">
        <f>IFERROR(SUMIFS('Трудозатраты членов ВТК'!$F$464:$F$713,'Трудозатраты членов ВТК'!$D$464:$D$713,A:A),"-")</f>
        <v>0</v>
      </c>
      <c r="G274" s="302"/>
      <c r="H274" s="295">
        <f t="shared" si="39"/>
        <v>0</v>
      </c>
      <c r="I274" s="296">
        <f>IFERROR(ROUND(IF('Состав ВТК'!$K267=справочник!$A$5,IF(AND('Расчет участников НИР'!$A274='Состав ВТК'!$B267,$I$10='Состав ВТК'!$I267),$F274*$D274*VLOOKUP('Расчет участников НИР'!$B274,Расценка!$C$3:$E$13,3,FALSE),0),0),2),"-")</f>
        <v>0</v>
      </c>
      <c r="J274" s="296">
        <f>IFERROR(ROUND(IF('Состав ВТК'!$K267=справочник!$A$5,IF(AND('Расчет участников НИР'!$A274='Состав ВТК'!$B267,$J$10='Состав ВТК'!$I267),$F274*$D274*VLOOKUP('Расчет участников НИР'!$B274,Расценка!$C$3:$E$13,3,FALSE),0),0),2),"-")</f>
        <v>0</v>
      </c>
      <c r="K274" s="296">
        <f>IFERROR(ROUND(IF('Состав ВТК'!$K267=справочник!$A$5,IF(AND('Расчет участников НИР'!$A274='Состав ВТК'!$B267,$K$10='Состав ВТК'!$I267),$F274*$D274*VLOOKUP('Расчет участников НИР'!$B274,Расценка!$C$3:$E$13,3,FALSE),0),0),2),"-")</f>
        <v>0</v>
      </c>
      <c r="L274" s="297"/>
      <c r="M274" s="295">
        <f t="shared" si="40"/>
        <v>0</v>
      </c>
      <c r="N274" s="298">
        <f>IFERROR(ROUND(IF('Состав ВТК'!$K267=справочник!$A$5,(IF(AND($A274='Состав ВТК'!$B267,$N$10=$C274),$F274*$D274*VLOOKUP($B274,Расценка!$H$3:$K$9,4,FALSE),0)),0),2),"-")</f>
        <v>0</v>
      </c>
      <c r="O274" s="298">
        <f>IFERROR(ROUND(IF('Состав ВТК'!$K267=справочник!$A$5,(IF(AND($A274='Состав ВТК'!$B267,$O$10=$C274),$F274*$D274*VLOOKUP($B274,Расценка!$H$3:$K$9,4,FALSE),0)),0),2),"-")</f>
        <v>0</v>
      </c>
      <c r="P274" s="299">
        <f t="shared" si="41"/>
        <v>0</v>
      </c>
      <c r="Q274" s="300">
        <f t="shared" si="46"/>
        <v>0</v>
      </c>
      <c r="R274" s="300">
        <f t="shared" si="47"/>
        <v>0</v>
      </c>
      <c r="S274" s="295">
        <f t="shared" si="42"/>
        <v>0</v>
      </c>
      <c r="T274" s="298">
        <f>IFERROR(ROUND(IF(AND('Расчет участников НИР'!$A274='Состав ВТК'!$B267,'Расчет участников НИР'!$T$10='Состав ВТК'!$I267),$E274,0),2),"-")</f>
        <v>0</v>
      </c>
      <c r="U274" s="298">
        <f>IFERROR(ROUND(IF(AND('Расчет участников НИР'!$A274='Состав ВТК'!$B267,'Расчет участников НИР'!$U$10='Состав ВТК'!$I267),$E274,0),2),"-")</f>
        <v>0</v>
      </c>
      <c r="V274" s="298">
        <f>IFERROR(ROUND(IF(AND('Расчет участников НИР'!$A274='Состав ВТК'!$B267,'Расчет участников НИР'!$V$10='Состав ВТК'!$I267),$E274,0),2),"-")</f>
        <v>0</v>
      </c>
      <c r="W274" s="301" t="str">
        <f t="shared" si="43"/>
        <v>-</v>
      </c>
      <c r="X274" s="301" t="str">
        <f t="shared" si="44"/>
        <v>-</v>
      </c>
      <c r="Y274" s="301" t="str">
        <f t="shared" si="45"/>
        <v>-</v>
      </c>
    </row>
    <row r="275" spans="1:25" x14ac:dyDescent="0.25">
      <c r="A275" s="217">
        <f>'Состав ВТК'!B268</f>
        <v>0</v>
      </c>
      <c r="B275" s="290">
        <f>IFERROR(VLOOKUP($A275,Распределение!$B$13:$L$113,11,FALSE),"-")</f>
        <v>0</v>
      </c>
      <c r="C275" s="291" t="str">
        <f>IFERROR(IF(VLOOKUP($B275,Расценка!$H$3:$I$9,2,FALSE)="НС",Расценка!$T$11,Расценка!$T$12),"-")</f>
        <v>-</v>
      </c>
      <c r="D275" s="291">
        <f>IFERROR(INDEX(Распределение!$1:$1048576,MATCH($A275,Распределение!$B:$B,0),MATCH($D$8,Распределение!$9:$9,0)),"---")</f>
        <v>0</v>
      </c>
      <c r="E275" s="292">
        <f>IFERROR(SUMIFS('Трудозатраты членов ВТК'!$G$17:$G$117,'Трудозатраты членов ВТК'!$D$17:$D$117,A:A),"-")</f>
        <v>0</v>
      </c>
      <c r="F275" s="293">
        <f>IFERROR(SUMIFS('Трудозатраты членов ВТК'!$F$464:$F$713,'Трудозатраты членов ВТК'!$D$464:$D$713,A:A),"-")</f>
        <v>0</v>
      </c>
      <c r="G275" s="302"/>
      <c r="H275" s="295">
        <f t="shared" si="39"/>
        <v>0</v>
      </c>
      <c r="I275" s="296">
        <f>IFERROR(ROUND(IF('Состав ВТК'!$K268=справочник!$A$5,IF(AND('Расчет участников НИР'!$A275='Состав ВТК'!$B268,$I$10='Состав ВТК'!$I268),$F275*$D275*VLOOKUP('Расчет участников НИР'!$B275,Расценка!$C$3:$E$13,3,FALSE),0),0),2),"-")</f>
        <v>0</v>
      </c>
      <c r="J275" s="296">
        <f>IFERROR(ROUND(IF('Состав ВТК'!$K268=справочник!$A$5,IF(AND('Расчет участников НИР'!$A275='Состав ВТК'!$B268,$J$10='Состав ВТК'!$I268),$F275*$D275*VLOOKUP('Расчет участников НИР'!$B275,Расценка!$C$3:$E$13,3,FALSE),0),0),2),"-")</f>
        <v>0</v>
      </c>
      <c r="K275" s="296">
        <f>IFERROR(ROUND(IF('Состав ВТК'!$K268=справочник!$A$5,IF(AND('Расчет участников НИР'!$A275='Состав ВТК'!$B268,$K$10='Состав ВТК'!$I268),$F275*$D275*VLOOKUP('Расчет участников НИР'!$B275,Расценка!$C$3:$E$13,3,FALSE),0),0),2),"-")</f>
        <v>0</v>
      </c>
      <c r="L275" s="297"/>
      <c r="M275" s="295">
        <f t="shared" si="40"/>
        <v>0</v>
      </c>
      <c r="N275" s="298">
        <f>IFERROR(ROUND(IF('Состав ВТК'!$K268=справочник!$A$5,(IF(AND($A275='Состав ВТК'!$B268,$N$10=$C275),$F275*$D275*VLOOKUP($B275,Расценка!$H$3:$K$9,4,FALSE),0)),0),2),"-")</f>
        <v>0</v>
      </c>
      <c r="O275" s="298">
        <f>IFERROR(ROUND(IF('Состав ВТК'!$K268=справочник!$A$5,(IF(AND($A275='Состав ВТК'!$B268,$O$10=$C275),$F275*$D275*VLOOKUP($B275,Расценка!$H$3:$K$9,4,FALSE),0)),0),2),"-")</f>
        <v>0</v>
      </c>
      <c r="P275" s="299">
        <f t="shared" si="41"/>
        <v>0</v>
      </c>
      <c r="Q275" s="300">
        <f t="shared" si="46"/>
        <v>0</v>
      </c>
      <c r="R275" s="300">
        <f t="shared" si="47"/>
        <v>0</v>
      </c>
      <c r="S275" s="295">
        <f t="shared" si="42"/>
        <v>0</v>
      </c>
      <c r="T275" s="298">
        <f>IFERROR(ROUND(IF(AND('Расчет участников НИР'!$A275='Состав ВТК'!$B268,'Расчет участников НИР'!$T$10='Состав ВТК'!$I268),$E275,0),2),"-")</f>
        <v>0</v>
      </c>
      <c r="U275" s="298">
        <f>IFERROR(ROUND(IF(AND('Расчет участников НИР'!$A275='Состав ВТК'!$B268,'Расчет участников НИР'!$U$10='Состав ВТК'!$I268),$E275,0),2),"-")</f>
        <v>0</v>
      </c>
      <c r="V275" s="298">
        <f>IFERROR(ROUND(IF(AND('Расчет участников НИР'!$A275='Состав ВТК'!$B268,'Расчет участников НИР'!$V$10='Состав ВТК'!$I268),$E275,0),2),"-")</f>
        <v>0</v>
      </c>
      <c r="W275" s="301" t="str">
        <f t="shared" si="43"/>
        <v>-</v>
      </c>
      <c r="X275" s="301" t="str">
        <f t="shared" si="44"/>
        <v>-</v>
      </c>
      <c r="Y275" s="301" t="str">
        <f t="shared" si="45"/>
        <v>-</v>
      </c>
    </row>
    <row r="276" spans="1:25" x14ac:dyDescent="0.25">
      <c r="A276" s="217">
        <f>'Состав ВТК'!B269</f>
        <v>0</v>
      </c>
      <c r="B276" s="290">
        <f>IFERROR(VLOOKUP($A276,Распределение!$B$13:$L$113,11,FALSE),"-")</f>
        <v>0</v>
      </c>
      <c r="C276" s="291" t="str">
        <f>IFERROR(IF(VLOOKUP($B276,Расценка!$H$3:$I$9,2,FALSE)="НС",Расценка!$T$11,Расценка!$T$12),"-")</f>
        <v>-</v>
      </c>
      <c r="D276" s="291">
        <f>IFERROR(INDEX(Распределение!$1:$1048576,MATCH($A276,Распределение!$B:$B,0),MATCH($D$8,Распределение!$9:$9,0)),"---")</f>
        <v>0</v>
      </c>
      <c r="E276" s="292">
        <f>IFERROR(SUMIFS('Трудозатраты членов ВТК'!$G$17:$G$117,'Трудозатраты членов ВТК'!$D$17:$D$117,A:A),"-")</f>
        <v>0</v>
      </c>
      <c r="F276" s="293">
        <f>IFERROR(SUMIFS('Трудозатраты членов ВТК'!$F$464:$F$713,'Трудозатраты членов ВТК'!$D$464:$D$713,A:A),"-")</f>
        <v>0</v>
      </c>
      <c r="G276" s="302"/>
      <c r="H276" s="295">
        <f t="shared" si="39"/>
        <v>0</v>
      </c>
      <c r="I276" s="296">
        <f>IFERROR(ROUND(IF('Состав ВТК'!$K269=справочник!$A$5,IF(AND('Расчет участников НИР'!$A276='Состав ВТК'!$B269,$I$10='Состав ВТК'!$I269),$F276*$D276*VLOOKUP('Расчет участников НИР'!$B276,Расценка!$C$3:$E$13,3,FALSE),0),0),2),"-")</f>
        <v>0</v>
      </c>
      <c r="J276" s="296">
        <f>IFERROR(ROUND(IF('Состав ВТК'!$K269=справочник!$A$5,IF(AND('Расчет участников НИР'!$A276='Состав ВТК'!$B269,$J$10='Состав ВТК'!$I269),$F276*$D276*VLOOKUP('Расчет участников НИР'!$B276,Расценка!$C$3:$E$13,3,FALSE),0),0),2),"-")</f>
        <v>0</v>
      </c>
      <c r="K276" s="296">
        <f>IFERROR(ROUND(IF('Состав ВТК'!$K269=справочник!$A$5,IF(AND('Расчет участников НИР'!$A276='Состав ВТК'!$B269,$K$10='Состав ВТК'!$I269),$F276*$D276*VLOOKUP('Расчет участников НИР'!$B276,Расценка!$C$3:$E$13,3,FALSE),0),0),2),"-")</f>
        <v>0</v>
      </c>
      <c r="L276" s="297"/>
      <c r="M276" s="295">
        <f t="shared" si="40"/>
        <v>0</v>
      </c>
      <c r="N276" s="298">
        <f>IFERROR(ROUND(IF('Состав ВТК'!$K269=справочник!$A$5,(IF(AND($A276='Состав ВТК'!$B269,$N$10=$C276),$F276*$D276*VLOOKUP($B276,Расценка!$H$3:$K$9,4,FALSE),0)),0),2),"-")</f>
        <v>0</v>
      </c>
      <c r="O276" s="298">
        <f>IFERROR(ROUND(IF('Состав ВТК'!$K269=справочник!$A$5,(IF(AND($A276='Состав ВТК'!$B269,$O$10=$C276),$F276*$D276*VLOOKUP($B276,Расценка!$H$3:$K$9,4,FALSE),0)),0),2),"-")</f>
        <v>0</v>
      </c>
      <c r="P276" s="299">
        <f t="shared" si="41"/>
        <v>0</v>
      </c>
      <c r="Q276" s="300">
        <f t="shared" si="46"/>
        <v>0</v>
      </c>
      <c r="R276" s="300">
        <f t="shared" si="47"/>
        <v>0</v>
      </c>
      <c r="S276" s="295">
        <f t="shared" si="42"/>
        <v>0</v>
      </c>
      <c r="T276" s="298">
        <f>IFERROR(ROUND(IF(AND('Расчет участников НИР'!$A276='Состав ВТК'!$B269,'Расчет участников НИР'!$T$10='Состав ВТК'!$I269),$E276,0),2),"-")</f>
        <v>0</v>
      </c>
      <c r="U276" s="298">
        <f>IFERROR(ROUND(IF(AND('Расчет участников НИР'!$A276='Состав ВТК'!$B269,'Расчет участников НИР'!$U$10='Состав ВТК'!$I269),$E276,0),2),"-")</f>
        <v>0</v>
      </c>
      <c r="V276" s="298">
        <f>IFERROR(ROUND(IF(AND('Расчет участников НИР'!$A276='Состав ВТК'!$B269,'Расчет участников НИР'!$V$10='Состав ВТК'!$I269),$E276,0),2),"-")</f>
        <v>0</v>
      </c>
      <c r="W276" s="301" t="str">
        <f t="shared" si="43"/>
        <v>-</v>
      </c>
      <c r="X276" s="301" t="str">
        <f t="shared" si="44"/>
        <v>-</v>
      </c>
      <c r="Y276" s="301" t="str">
        <f t="shared" si="45"/>
        <v>-</v>
      </c>
    </row>
    <row r="277" spans="1:25" x14ac:dyDescent="0.25">
      <c r="A277" s="217">
        <f>'Состав ВТК'!B270</f>
        <v>0</v>
      </c>
      <c r="B277" s="290">
        <f>IFERROR(VLOOKUP($A277,Распределение!$B$13:$L$113,11,FALSE),"-")</f>
        <v>0</v>
      </c>
      <c r="C277" s="291" t="str">
        <f>IFERROR(IF(VLOOKUP($B277,Расценка!$H$3:$I$9,2,FALSE)="НС",Расценка!$T$11,Расценка!$T$12),"-")</f>
        <v>-</v>
      </c>
      <c r="D277" s="291">
        <f>IFERROR(INDEX(Распределение!$1:$1048576,MATCH($A277,Распределение!$B:$B,0),MATCH($D$8,Распределение!$9:$9,0)),"---")</f>
        <v>0</v>
      </c>
      <c r="E277" s="292">
        <f>IFERROR(SUMIFS('Трудозатраты членов ВТК'!$G$17:$G$117,'Трудозатраты членов ВТК'!$D$17:$D$117,A:A),"-")</f>
        <v>0</v>
      </c>
      <c r="F277" s="293">
        <f>IFERROR(SUMIFS('Трудозатраты членов ВТК'!$F$464:$F$713,'Трудозатраты членов ВТК'!$D$464:$D$713,A:A),"-")</f>
        <v>0</v>
      </c>
      <c r="G277" s="302"/>
      <c r="H277" s="295">
        <f t="shared" si="39"/>
        <v>0</v>
      </c>
      <c r="I277" s="296">
        <f>IFERROR(ROUND(IF('Состав ВТК'!$K270=справочник!$A$5,IF(AND('Расчет участников НИР'!$A277='Состав ВТК'!$B270,$I$10='Состав ВТК'!$I270),$F277*$D277*VLOOKUP('Расчет участников НИР'!$B277,Расценка!$C$3:$E$13,3,FALSE),0),0),2),"-")</f>
        <v>0</v>
      </c>
      <c r="J277" s="296">
        <f>IFERROR(ROUND(IF('Состав ВТК'!$K270=справочник!$A$5,IF(AND('Расчет участников НИР'!$A277='Состав ВТК'!$B270,$J$10='Состав ВТК'!$I270),$F277*$D277*VLOOKUP('Расчет участников НИР'!$B277,Расценка!$C$3:$E$13,3,FALSE),0),0),2),"-")</f>
        <v>0</v>
      </c>
      <c r="K277" s="296">
        <f>IFERROR(ROUND(IF('Состав ВТК'!$K270=справочник!$A$5,IF(AND('Расчет участников НИР'!$A277='Состав ВТК'!$B270,$K$10='Состав ВТК'!$I270),$F277*$D277*VLOOKUP('Расчет участников НИР'!$B277,Расценка!$C$3:$E$13,3,FALSE),0),0),2),"-")</f>
        <v>0</v>
      </c>
      <c r="L277" s="297"/>
      <c r="M277" s="295">
        <f t="shared" si="40"/>
        <v>0</v>
      </c>
      <c r="N277" s="298">
        <f>IFERROR(ROUND(IF('Состав ВТК'!$K270=справочник!$A$5,(IF(AND($A277='Состав ВТК'!$B270,$N$10=$C277),$F277*$D277*VLOOKUP($B277,Расценка!$H$3:$K$9,4,FALSE),0)),0),2),"-")</f>
        <v>0</v>
      </c>
      <c r="O277" s="298">
        <f>IFERROR(ROUND(IF('Состав ВТК'!$K270=справочник!$A$5,(IF(AND($A277='Состав ВТК'!$B270,$O$10=$C277),$F277*$D277*VLOOKUP($B277,Расценка!$H$3:$K$9,4,FALSE),0)),0),2),"-")</f>
        <v>0</v>
      </c>
      <c r="P277" s="299">
        <f t="shared" si="41"/>
        <v>0</v>
      </c>
      <c r="Q277" s="300">
        <f t="shared" si="46"/>
        <v>0</v>
      </c>
      <c r="R277" s="300">
        <f t="shared" si="47"/>
        <v>0</v>
      </c>
      <c r="S277" s="295">
        <f t="shared" si="42"/>
        <v>0</v>
      </c>
      <c r="T277" s="298">
        <f>IFERROR(ROUND(IF(AND('Расчет участников НИР'!$A277='Состав ВТК'!$B270,'Расчет участников НИР'!$T$10='Состав ВТК'!$I270),$E277,0),2),"-")</f>
        <v>0</v>
      </c>
      <c r="U277" s="298">
        <f>IFERROR(ROUND(IF(AND('Расчет участников НИР'!$A277='Состав ВТК'!$B270,'Расчет участников НИР'!$U$10='Состав ВТК'!$I270),$E277,0),2),"-")</f>
        <v>0</v>
      </c>
      <c r="V277" s="298">
        <f>IFERROR(ROUND(IF(AND('Расчет участников НИР'!$A277='Состав ВТК'!$B270,'Расчет участников НИР'!$V$10='Состав ВТК'!$I270),$E277,0),2),"-")</f>
        <v>0</v>
      </c>
      <c r="W277" s="301" t="str">
        <f t="shared" si="43"/>
        <v>-</v>
      </c>
      <c r="X277" s="301" t="str">
        <f t="shared" si="44"/>
        <v>-</v>
      </c>
      <c r="Y277" s="301" t="str">
        <f t="shared" si="45"/>
        <v>-</v>
      </c>
    </row>
    <row r="278" spans="1:25" x14ac:dyDescent="0.25">
      <c r="A278" s="217">
        <f>'Состав ВТК'!B271</f>
        <v>0</v>
      </c>
      <c r="B278" s="290">
        <f>IFERROR(VLOOKUP($A278,Распределение!$B$13:$L$113,11,FALSE),"-")</f>
        <v>0</v>
      </c>
      <c r="C278" s="291" t="str">
        <f>IFERROR(IF(VLOOKUP($B278,Расценка!$H$3:$I$9,2,FALSE)="НС",Расценка!$T$11,Расценка!$T$12),"-")</f>
        <v>-</v>
      </c>
      <c r="D278" s="291">
        <f>IFERROR(INDEX(Распределение!$1:$1048576,MATCH($A278,Распределение!$B:$B,0),MATCH($D$8,Распределение!$9:$9,0)),"---")</f>
        <v>0</v>
      </c>
      <c r="E278" s="292">
        <f>IFERROR(SUMIFS('Трудозатраты членов ВТК'!$G$17:$G$117,'Трудозатраты членов ВТК'!$D$17:$D$117,A:A),"-")</f>
        <v>0</v>
      </c>
      <c r="F278" s="293">
        <f>IFERROR(SUMIFS('Трудозатраты членов ВТК'!$F$464:$F$713,'Трудозатраты членов ВТК'!$D$464:$D$713,A:A),"-")</f>
        <v>0</v>
      </c>
      <c r="G278" s="302"/>
      <c r="H278" s="295">
        <f t="shared" si="39"/>
        <v>0</v>
      </c>
      <c r="I278" s="296">
        <f>IFERROR(ROUND(IF('Состав ВТК'!$K271=справочник!$A$5,IF(AND('Расчет участников НИР'!$A278='Состав ВТК'!$B271,$I$10='Состав ВТК'!$I271),$F278*$D278*VLOOKUP('Расчет участников НИР'!$B278,Расценка!$C$3:$E$13,3,FALSE),0),0),2),"-")</f>
        <v>0</v>
      </c>
      <c r="J278" s="296">
        <f>IFERROR(ROUND(IF('Состав ВТК'!$K271=справочник!$A$5,IF(AND('Расчет участников НИР'!$A278='Состав ВТК'!$B271,$J$10='Состав ВТК'!$I271),$F278*$D278*VLOOKUP('Расчет участников НИР'!$B278,Расценка!$C$3:$E$13,3,FALSE),0),0),2),"-")</f>
        <v>0</v>
      </c>
      <c r="K278" s="296">
        <f>IFERROR(ROUND(IF('Состав ВТК'!$K271=справочник!$A$5,IF(AND('Расчет участников НИР'!$A278='Состав ВТК'!$B271,$K$10='Состав ВТК'!$I271),$F278*$D278*VLOOKUP('Расчет участников НИР'!$B278,Расценка!$C$3:$E$13,3,FALSE),0),0),2),"-")</f>
        <v>0</v>
      </c>
      <c r="L278" s="297"/>
      <c r="M278" s="295">
        <f t="shared" si="40"/>
        <v>0</v>
      </c>
      <c r="N278" s="298">
        <f>IFERROR(ROUND(IF('Состав ВТК'!$K271=справочник!$A$5,(IF(AND($A278='Состав ВТК'!$B271,$N$10=$C278),$F278*$D278*VLOOKUP($B278,Расценка!$H$3:$K$9,4,FALSE),0)),0),2),"-")</f>
        <v>0</v>
      </c>
      <c r="O278" s="298">
        <f>IFERROR(ROUND(IF('Состав ВТК'!$K271=справочник!$A$5,(IF(AND($A278='Состав ВТК'!$B271,$O$10=$C278),$F278*$D278*VLOOKUP($B278,Расценка!$H$3:$K$9,4,FALSE),0)),0),2),"-")</f>
        <v>0</v>
      </c>
      <c r="P278" s="299">
        <f t="shared" si="41"/>
        <v>0</v>
      </c>
      <c r="Q278" s="300">
        <f t="shared" si="46"/>
        <v>0</v>
      </c>
      <c r="R278" s="300">
        <f t="shared" si="47"/>
        <v>0</v>
      </c>
      <c r="S278" s="295">
        <f t="shared" si="42"/>
        <v>0</v>
      </c>
      <c r="T278" s="298">
        <f>IFERROR(ROUND(IF(AND('Расчет участников НИР'!$A278='Состав ВТК'!$B271,'Расчет участников НИР'!$T$10='Состав ВТК'!$I271),$E278,0),2),"-")</f>
        <v>0</v>
      </c>
      <c r="U278" s="298">
        <f>IFERROR(ROUND(IF(AND('Расчет участников НИР'!$A278='Состав ВТК'!$B271,'Расчет участников НИР'!$U$10='Состав ВТК'!$I271),$E278,0),2),"-")</f>
        <v>0</v>
      </c>
      <c r="V278" s="298">
        <f>IFERROR(ROUND(IF(AND('Расчет участников НИР'!$A278='Состав ВТК'!$B271,'Расчет участников НИР'!$V$10='Состав ВТК'!$I271),$E278,0),2),"-")</f>
        <v>0</v>
      </c>
      <c r="W278" s="301" t="str">
        <f t="shared" si="43"/>
        <v>-</v>
      </c>
      <c r="X278" s="301" t="str">
        <f t="shared" si="44"/>
        <v>-</v>
      </c>
      <c r="Y278" s="301" t="str">
        <f t="shared" si="45"/>
        <v>-</v>
      </c>
    </row>
    <row r="279" spans="1:25" x14ac:dyDescent="0.25">
      <c r="A279" s="217">
        <f>'Состав ВТК'!B272</f>
        <v>0</v>
      </c>
      <c r="B279" s="290">
        <f>IFERROR(VLOOKUP($A279,Распределение!$B$13:$L$113,11,FALSE),"-")</f>
        <v>0</v>
      </c>
      <c r="C279" s="291" t="str">
        <f>IFERROR(IF(VLOOKUP($B279,Расценка!$H$3:$I$9,2,FALSE)="НС",Расценка!$T$11,Расценка!$T$12),"-")</f>
        <v>-</v>
      </c>
      <c r="D279" s="291">
        <f>IFERROR(INDEX(Распределение!$1:$1048576,MATCH($A279,Распределение!$B:$B,0),MATCH($D$8,Распределение!$9:$9,0)),"---")</f>
        <v>0</v>
      </c>
      <c r="E279" s="292">
        <f>IFERROR(SUMIFS('Трудозатраты членов ВТК'!$G$17:$G$117,'Трудозатраты членов ВТК'!$D$17:$D$117,A:A),"-")</f>
        <v>0</v>
      </c>
      <c r="F279" s="293">
        <f>IFERROR(SUMIFS('Трудозатраты членов ВТК'!$F$464:$F$713,'Трудозатраты членов ВТК'!$D$464:$D$713,A:A),"-")</f>
        <v>0</v>
      </c>
      <c r="G279" s="302"/>
      <c r="H279" s="295">
        <f t="shared" si="39"/>
        <v>0</v>
      </c>
      <c r="I279" s="296">
        <f>IFERROR(ROUND(IF('Состав ВТК'!$K272=справочник!$A$5,IF(AND('Расчет участников НИР'!$A279='Состав ВТК'!$B272,$I$10='Состав ВТК'!$I272),$F279*$D279*VLOOKUP('Расчет участников НИР'!$B279,Расценка!$C$3:$E$13,3,FALSE),0),0),2),"-")</f>
        <v>0</v>
      </c>
      <c r="J279" s="296">
        <f>IFERROR(ROUND(IF('Состав ВТК'!$K272=справочник!$A$5,IF(AND('Расчет участников НИР'!$A279='Состав ВТК'!$B272,$J$10='Состав ВТК'!$I272),$F279*$D279*VLOOKUP('Расчет участников НИР'!$B279,Расценка!$C$3:$E$13,3,FALSE),0),0),2),"-")</f>
        <v>0</v>
      </c>
      <c r="K279" s="296">
        <f>IFERROR(ROUND(IF('Состав ВТК'!$K272=справочник!$A$5,IF(AND('Расчет участников НИР'!$A279='Состав ВТК'!$B272,$K$10='Состав ВТК'!$I272),$F279*$D279*VLOOKUP('Расчет участников НИР'!$B279,Расценка!$C$3:$E$13,3,FALSE),0),0),2),"-")</f>
        <v>0</v>
      </c>
      <c r="L279" s="297"/>
      <c r="M279" s="295">
        <f t="shared" si="40"/>
        <v>0</v>
      </c>
      <c r="N279" s="298">
        <f>IFERROR(ROUND(IF('Состав ВТК'!$K272=справочник!$A$5,(IF(AND($A279='Состав ВТК'!$B272,$N$10=$C279),$F279*$D279*VLOOKUP($B279,Расценка!$H$3:$K$9,4,FALSE),0)),0),2),"-")</f>
        <v>0</v>
      </c>
      <c r="O279" s="298">
        <f>IFERROR(ROUND(IF('Состав ВТК'!$K272=справочник!$A$5,(IF(AND($A279='Состав ВТК'!$B272,$O$10=$C279),$F279*$D279*VLOOKUP($B279,Расценка!$H$3:$K$9,4,FALSE),0)),0),2),"-")</f>
        <v>0</v>
      </c>
      <c r="P279" s="299">
        <f t="shared" si="41"/>
        <v>0</v>
      </c>
      <c r="Q279" s="300">
        <f t="shared" si="46"/>
        <v>0</v>
      </c>
      <c r="R279" s="300">
        <f t="shared" si="47"/>
        <v>0</v>
      </c>
      <c r="S279" s="295">
        <f t="shared" si="42"/>
        <v>0</v>
      </c>
      <c r="T279" s="298">
        <f>IFERROR(ROUND(IF(AND('Расчет участников НИР'!$A279='Состав ВТК'!$B272,'Расчет участников НИР'!$T$10='Состав ВТК'!$I272),$E279,0),2),"-")</f>
        <v>0</v>
      </c>
      <c r="U279" s="298">
        <f>IFERROR(ROUND(IF(AND('Расчет участников НИР'!$A279='Состав ВТК'!$B272,'Расчет участников НИР'!$U$10='Состав ВТК'!$I272),$E279,0),2),"-")</f>
        <v>0</v>
      </c>
      <c r="V279" s="298">
        <f>IFERROR(ROUND(IF(AND('Расчет участников НИР'!$A279='Состав ВТК'!$B272,'Расчет участников НИР'!$V$10='Состав ВТК'!$I272),$E279,0),2),"-")</f>
        <v>0</v>
      </c>
      <c r="W279" s="301" t="str">
        <f t="shared" si="43"/>
        <v>-</v>
      </c>
      <c r="X279" s="301" t="str">
        <f t="shared" si="44"/>
        <v>-</v>
      </c>
      <c r="Y279" s="301" t="str">
        <f t="shared" si="45"/>
        <v>-</v>
      </c>
    </row>
    <row r="280" spans="1:25" x14ac:dyDescent="0.25">
      <c r="A280" s="217">
        <f>'Состав ВТК'!B273</f>
        <v>0</v>
      </c>
      <c r="B280" s="290">
        <f>IFERROR(VLOOKUP($A280,Распределение!$B$13:$L$113,11,FALSE),"-")</f>
        <v>0</v>
      </c>
      <c r="C280" s="291" t="str">
        <f>IFERROR(IF(VLOOKUP($B280,Расценка!$H$3:$I$9,2,FALSE)="НС",Расценка!$T$11,Расценка!$T$12),"-")</f>
        <v>-</v>
      </c>
      <c r="D280" s="291">
        <f>IFERROR(INDEX(Распределение!$1:$1048576,MATCH($A280,Распределение!$B:$B,0),MATCH($D$8,Распределение!$9:$9,0)),"---")</f>
        <v>0</v>
      </c>
      <c r="E280" s="292">
        <f>IFERROR(SUMIFS('Трудозатраты членов ВТК'!$G$17:$G$117,'Трудозатраты членов ВТК'!$D$17:$D$117,A:A),"-")</f>
        <v>0</v>
      </c>
      <c r="F280" s="293">
        <f>IFERROR(SUMIFS('Трудозатраты членов ВТК'!$F$464:$F$713,'Трудозатраты членов ВТК'!$D$464:$D$713,A:A),"-")</f>
        <v>0</v>
      </c>
      <c r="G280" s="302"/>
      <c r="H280" s="295">
        <f t="shared" si="39"/>
        <v>0</v>
      </c>
      <c r="I280" s="296">
        <f>IFERROR(ROUND(IF('Состав ВТК'!$K273=справочник!$A$5,IF(AND('Расчет участников НИР'!$A280='Состав ВТК'!$B273,$I$10='Состав ВТК'!$I273),$F280*$D280*VLOOKUP('Расчет участников НИР'!$B280,Расценка!$C$3:$E$13,3,FALSE),0),0),2),"-")</f>
        <v>0</v>
      </c>
      <c r="J280" s="296">
        <f>IFERROR(ROUND(IF('Состав ВТК'!$K273=справочник!$A$5,IF(AND('Расчет участников НИР'!$A280='Состав ВТК'!$B273,$J$10='Состав ВТК'!$I273),$F280*$D280*VLOOKUP('Расчет участников НИР'!$B280,Расценка!$C$3:$E$13,3,FALSE),0),0),2),"-")</f>
        <v>0</v>
      </c>
      <c r="K280" s="296">
        <f>IFERROR(ROUND(IF('Состав ВТК'!$K273=справочник!$A$5,IF(AND('Расчет участников НИР'!$A280='Состав ВТК'!$B273,$K$10='Состав ВТК'!$I273),$F280*$D280*VLOOKUP('Расчет участников НИР'!$B280,Расценка!$C$3:$E$13,3,FALSE),0),0),2),"-")</f>
        <v>0</v>
      </c>
      <c r="L280" s="297"/>
      <c r="M280" s="295">
        <f t="shared" si="40"/>
        <v>0</v>
      </c>
      <c r="N280" s="298">
        <f>IFERROR(ROUND(IF('Состав ВТК'!$K273=справочник!$A$5,(IF(AND($A280='Состав ВТК'!$B273,$N$10=$C280),$F280*$D280*VLOOKUP($B280,Расценка!$H$3:$K$9,4,FALSE),0)),0),2),"-")</f>
        <v>0</v>
      </c>
      <c r="O280" s="298">
        <f>IFERROR(ROUND(IF('Состав ВТК'!$K273=справочник!$A$5,(IF(AND($A280='Состав ВТК'!$B273,$O$10=$C280),$F280*$D280*VLOOKUP($B280,Расценка!$H$3:$K$9,4,FALSE),0)),0),2),"-")</f>
        <v>0</v>
      </c>
      <c r="P280" s="299">
        <f t="shared" si="41"/>
        <v>0</v>
      </c>
      <c r="Q280" s="300">
        <f t="shared" si="46"/>
        <v>0</v>
      </c>
      <c r="R280" s="300">
        <f t="shared" si="47"/>
        <v>0</v>
      </c>
      <c r="S280" s="295">
        <f t="shared" si="42"/>
        <v>0</v>
      </c>
      <c r="T280" s="298">
        <f>IFERROR(ROUND(IF(AND('Расчет участников НИР'!$A280='Состав ВТК'!$B273,'Расчет участников НИР'!$T$10='Состав ВТК'!$I273),$E280,0),2),"-")</f>
        <v>0</v>
      </c>
      <c r="U280" s="298">
        <f>IFERROR(ROUND(IF(AND('Расчет участников НИР'!$A280='Состав ВТК'!$B273,'Расчет участников НИР'!$U$10='Состав ВТК'!$I273),$E280,0),2),"-")</f>
        <v>0</v>
      </c>
      <c r="V280" s="298">
        <f>IFERROR(ROUND(IF(AND('Расчет участников НИР'!$A280='Состав ВТК'!$B273,'Расчет участников НИР'!$V$10='Состав ВТК'!$I273),$E280,0),2),"-")</f>
        <v>0</v>
      </c>
      <c r="W280" s="301" t="str">
        <f t="shared" si="43"/>
        <v>-</v>
      </c>
      <c r="X280" s="301" t="str">
        <f t="shared" si="44"/>
        <v>-</v>
      </c>
      <c r="Y280" s="301" t="str">
        <f t="shared" si="45"/>
        <v>-</v>
      </c>
    </row>
    <row r="281" spans="1:25" x14ac:dyDescent="0.25">
      <c r="A281" s="217">
        <f>'Состав ВТК'!B274</f>
        <v>0</v>
      </c>
      <c r="B281" s="290">
        <f>IFERROR(VLOOKUP($A281,Распределение!$B$13:$L$113,11,FALSE),"-")</f>
        <v>0</v>
      </c>
      <c r="C281" s="291" t="str">
        <f>IFERROR(IF(VLOOKUP($B281,Расценка!$H$3:$I$9,2,FALSE)="НС",Расценка!$T$11,Расценка!$T$12),"-")</f>
        <v>-</v>
      </c>
      <c r="D281" s="291">
        <f>IFERROR(INDEX(Распределение!$1:$1048576,MATCH($A281,Распределение!$B:$B,0),MATCH($D$8,Распределение!$9:$9,0)),"---")</f>
        <v>0</v>
      </c>
      <c r="E281" s="292">
        <f>IFERROR(SUMIFS('Трудозатраты членов ВТК'!$G$17:$G$117,'Трудозатраты членов ВТК'!$D$17:$D$117,A:A),"-")</f>
        <v>0</v>
      </c>
      <c r="F281" s="293">
        <f>IFERROR(SUMIFS('Трудозатраты членов ВТК'!$F$464:$F$713,'Трудозатраты членов ВТК'!$D$464:$D$713,A:A),"-")</f>
        <v>0</v>
      </c>
      <c r="G281" s="302"/>
      <c r="H281" s="295">
        <f t="shared" si="39"/>
        <v>0</v>
      </c>
      <c r="I281" s="296">
        <f>IFERROR(ROUND(IF('Состав ВТК'!$K274=справочник!$A$5,IF(AND('Расчет участников НИР'!$A281='Состав ВТК'!$B274,$I$10='Состав ВТК'!$I274),$F281*$D281*VLOOKUP('Расчет участников НИР'!$B281,Расценка!$C$3:$E$13,3,FALSE),0),0),2),"-")</f>
        <v>0</v>
      </c>
      <c r="J281" s="296">
        <f>IFERROR(ROUND(IF('Состав ВТК'!$K274=справочник!$A$5,IF(AND('Расчет участников НИР'!$A281='Состав ВТК'!$B274,$J$10='Состав ВТК'!$I274),$F281*$D281*VLOOKUP('Расчет участников НИР'!$B281,Расценка!$C$3:$E$13,3,FALSE),0),0),2),"-")</f>
        <v>0</v>
      </c>
      <c r="K281" s="296">
        <f>IFERROR(ROUND(IF('Состав ВТК'!$K274=справочник!$A$5,IF(AND('Расчет участников НИР'!$A281='Состав ВТК'!$B274,$K$10='Состав ВТК'!$I274),$F281*$D281*VLOOKUP('Расчет участников НИР'!$B281,Расценка!$C$3:$E$13,3,FALSE),0),0),2),"-")</f>
        <v>0</v>
      </c>
      <c r="L281" s="297"/>
      <c r="M281" s="295">
        <f t="shared" si="40"/>
        <v>0</v>
      </c>
      <c r="N281" s="298">
        <f>IFERROR(ROUND(IF('Состав ВТК'!$K274=справочник!$A$5,(IF(AND($A281='Состав ВТК'!$B274,$N$10=$C281),$F281*$D281*VLOOKUP($B281,Расценка!$H$3:$K$9,4,FALSE),0)),0),2),"-")</f>
        <v>0</v>
      </c>
      <c r="O281" s="298">
        <f>IFERROR(ROUND(IF('Состав ВТК'!$K274=справочник!$A$5,(IF(AND($A281='Состав ВТК'!$B274,$O$10=$C281),$F281*$D281*VLOOKUP($B281,Расценка!$H$3:$K$9,4,FALSE),0)),0),2),"-")</f>
        <v>0</v>
      </c>
      <c r="P281" s="299">
        <f t="shared" si="41"/>
        <v>0</v>
      </c>
      <c r="Q281" s="300">
        <f t="shared" si="46"/>
        <v>0</v>
      </c>
      <c r="R281" s="300">
        <f t="shared" si="47"/>
        <v>0</v>
      </c>
      <c r="S281" s="295">
        <f t="shared" si="42"/>
        <v>0</v>
      </c>
      <c r="T281" s="298">
        <f>IFERROR(ROUND(IF(AND('Расчет участников НИР'!$A281='Состав ВТК'!$B274,'Расчет участников НИР'!$T$10='Состав ВТК'!$I274),$E281,0),2),"-")</f>
        <v>0</v>
      </c>
      <c r="U281" s="298">
        <f>IFERROR(ROUND(IF(AND('Расчет участников НИР'!$A281='Состав ВТК'!$B274,'Расчет участников НИР'!$U$10='Состав ВТК'!$I274),$E281,0),2),"-")</f>
        <v>0</v>
      </c>
      <c r="V281" s="298">
        <f>IFERROR(ROUND(IF(AND('Расчет участников НИР'!$A281='Состав ВТК'!$B274,'Расчет участников НИР'!$V$10='Состав ВТК'!$I274),$E281,0),2),"-")</f>
        <v>0</v>
      </c>
      <c r="W281" s="301" t="str">
        <f t="shared" si="43"/>
        <v>-</v>
      </c>
      <c r="X281" s="301" t="str">
        <f t="shared" si="44"/>
        <v>-</v>
      </c>
      <c r="Y281" s="301" t="str">
        <f t="shared" si="45"/>
        <v>-</v>
      </c>
    </row>
    <row r="282" spans="1:25" x14ac:dyDescent="0.25">
      <c r="A282" s="217">
        <f>'Состав ВТК'!B275</f>
        <v>0</v>
      </c>
      <c r="B282" s="290">
        <f>IFERROR(VLOOKUP($A282,Распределение!$B$13:$L$113,11,FALSE),"-")</f>
        <v>0</v>
      </c>
      <c r="C282" s="291" t="str">
        <f>IFERROR(IF(VLOOKUP($B282,Расценка!$H$3:$I$9,2,FALSE)="НС",Расценка!$T$11,Расценка!$T$12),"-")</f>
        <v>-</v>
      </c>
      <c r="D282" s="291">
        <f>IFERROR(INDEX(Распределение!$1:$1048576,MATCH($A282,Распределение!$B:$B,0),MATCH($D$8,Распределение!$9:$9,0)),"---")</f>
        <v>0</v>
      </c>
      <c r="E282" s="292">
        <f>IFERROR(SUMIFS('Трудозатраты членов ВТК'!$G$17:$G$117,'Трудозатраты членов ВТК'!$D$17:$D$117,A:A),"-")</f>
        <v>0</v>
      </c>
      <c r="F282" s="293">
        <f>IFERROR(SUMIFS('Трудозатраты членов ВТК'!$F$464:$F$713,'Трудозатраты членов ВТК'!$D$464:$D$713,A:A),"-")</f>
        <v>0</v>
      </c>
      <c r="G282" s="302"/>
      <c r="H282" s="295">
        <f t="shared" si="39"/>
        <v>0</v>
      </c>
      <c r="I282" s="296">
        <f>IFERROR(ROUND(IF('Состав ВТК'!$K275=справочник!$A$5,IF(AND('Расчет участников НИР'!$A282='Состав ВТК'!$B275,$I$10='Состав ВТК'!$I275),$F282*$D282*VLOOKUP('Расчет участников НИР'!$B282,Расценка!$C$3:$E$13,3,FALSE),0),0),2),"-")</f>
        <v>0</v>
      </c>
      <c r="J282" s="296">
        <f>IFERROR(ROUND(IF('Состав ВТК'!$K275=справочник!$A$5,IF(AND('Расчет участников НИР'!$A282='Состав ВТК'!$B275,$J$10='Состав ВТК'!$I275),$F282*$D282*VLOOKUP('Расчет участников НИР'!$B282,Расценка!$C$3:$E$13,3,FALSE),0),0),2),"-")</f>
        <v>0</v>
      </c>
      <c r="K282" s="296">
        <f>IFERROR(ROUND(IF('Состав ВТК'!$K275=справочник!$A$5,IF(AND('Расчет участников НИР'!$A282='Состав ВТК'!$B275,$K$10='Состав ВТК'!$I275),$F282*$D282*VLOOKUP('Расчет участников НИР'!$B282,Расценка!$C$3:$E$13,3,FALSE),0),0),2),"-")</f>
        <v>0</v>
      </c>
      <c r="L282" s="297"/>
      <c r="M282" s="295">
        <f t="shared" si="40"/>
        <v>0</v>
      </c>
      <c r="N282" s="298">
        <f>IFERROR(ROUND(IF('Состав ВТК'!$K275=справочник!$A$5,(IF(AND($A282='Состав ВТК'!$B275,$N$10=$C282),$F282*$D282*VLOOKUP($B282,Расценка!$H$3:$K$9,4,FALSE),0)),0),2),"-")</f>
        <v>0</v>
      </c>
      <c r="O282" s="298">
        <f>IFERROR(ROUND(IF('Состав ВТК'!$K275=справочник!$A$5,(IF(AND($A282='Состав ВТК'!$B275,$O$10=$C282),$F282*$D282*VLOOKUP($B282,Расценка!$H$3:$K$9,4,FALSE),0)),0),2),"-")</f>
        <v>0</v>
      </c>
      <c r="P282" s="299">
        <f t="shared" si="41"/>
        <v>0</v>
      </c>
      <c r="Q282" s="300">
        <f t="shared" si="46"/>
        <v>0</v>
      </c>
      <c r="R282" s="300">
        <f t="shared" si="47"/>
        <v>0</v>
      </c>
      <c r="S282" s="295">
        <f t="shared" si="42"/>
        <v>0</v>
      </c>
      <c r="T282" s="298">
        <f>IFERROR(ROUND(IF(AND('Расчет участников НИР'!$A282='Состав ВТК'!$B275,'Расчет участников НИР'!$T$10='Состав ВТК'!$I275),$E282,0),2),"-")</f>
        <v>0</v>
      </c>
      <c r="U282" s="298">
        <f>IFERROR(ROUND(IF(AND('Расчет участников НИР'!$A282='Состав ВТК'!$B275,'Расчет участников НИР'!$U$10='Состав ВТК'!$I275),$E282,0),2),"-")</f>
        <v>0</v>
      </c>
      <c r="V282" s="298">
        <f>IFERROR(ROUND(IF(AND('Расчет участников НИР'!$A282='Состав ВТК'!$B275,'Расчет участников НИР'!$V$10='Состав ВТК'!$I275),$E282,0),2),"-")</f>
        <v>0</v>
      </c>
      <c r="W282" s="301" t="str">
        <f t="shared" si="43"/>
        <v>-</v>
      </c>
      <c r="X282" s="301" t="str">
        <f t="shared" si="44"/>
        <v>-</v>
      </c>
      <c r="Y282" s="301" t="str">
        <f t="shared" si="45"/>
        <v>-</v>
      </c>
    </row>
    <row r="283" spans="1:25" x14ac:dyDescent="0.25">
      <c r="A283" s="217">
        <f>'Состав ВТК'!B276</f>
        <v>0</v>
      </c>
      <c r="B283" s="290">
        <f>IFERROR(VLOOKUP($A283,Распределение!$B$13:$L$113,11,FALSE),"-")</f>
        <v>0</v>
      </c>
      <c r="C283" s="291" t="str">
        <f>IFERROR(IF(VLOOKUP($B283,Расценка!$H$3:$I$9,2,FALSE)="НС",Расценка!$T$11,Расценка!$T$12),"-")</f>
        <v>-</v>
      </c>
      <c r="D283" s="291">
        <f>IFERROR(INDEX(Распределение!$1:$1048576,MATCH($A283,Распределение!$B:$B,0),MATCH($D$8,Распределение!$9:$9,0)),"---")</f>
        <v>0</v>
      </c>
      <c r="E283" s="292">
        <f>IFERROR(SUMIFS('Трудозатраты членов ВТК'!$G$17:$G$117,'Трудозатраты членов ВТК'!$D$17:$D$117,A:A),"-")</f>
        <v>0</v>
      </c>
      <c r="F283" s="293">
        <f>IFERROR(SUMIFS('Трудозатраты членов ВТК'!$F$464:$F$713,'Трудозатраты членов ВТК'!$D$464:$D$713,A:A),"-")</f>
        <v>0</v>
      </c>
      <c r="G283" s="302"/>
      <c r="H283" s="295">
        <f t="shared" si="39"/>
        <v>0</v>
      </c>
      <c r="I283" s="296">
        <f>IFERROR(ROUND(IF('Состав ВТК'!$K276=справочник!$A$5,IF(AND('Расчет участников НИР'!$A283='Состав ВТК'!$B276,$I$10='Состав ВТК'!$I276),$F283*$D283*VLOOKUP('Расчет участников НИР'!$B283,Расценка!$C$3:$E$13,3,FALSE),0),0),2),"-")</f>
        <v>0</v>
      </c>
      <c r="J283" s="296">
        <f>IFERROR(ROUND(IF('Состав ВТК'!$K276=справочник!$A$5,IF(AND('Расчет участников НИР'!$A283='Состав ВТК'!$B276,$J$10='Состав ВТК'!$I276),$F283*$D283*VLOOKUP('Расчет участников НИР'!$B283,Расценка!$C$3:$E$13,3,FALSE),0),0),2),"-")</f>
        <v>0</v>
      </c>
      <c r="K283" s="296">
        <f>IFERROR(ROUND(IF('Состав ВТК'!$K276=справочник!$A$5,IF(AND('Расчет участников НИР'!$A283='Состав ВТК'!$B276,$K$10='Состав ВТК'!$I276),$F283*$D283*VLOOKUP('Расчет участников НИР'!$B283,Расценка!$C$3:$E$13,3,FALSE),0),0),2),"-")</f>
        <v>0</v>
      </c>
      <c r="L283" s="297"/>
      <c r="M283" s="295">
        <f t="shared" si="40"/>
        <v>0</v>
      </c>
      <c r="N283" s="298">
        <f>IFERROR(ROUND(IF('Состав ВТК'!$K276=справочник!$A$5,(IF(AND($A283='Состав ВТК'!$B276,$N$10=$C283),$F283*$D283*VLOOKUP($B283,Расценка!$H$3:$K$9,4,FALSE),0)),0),2),"-")</f>
        <v>0</v>
      </c>
      <c r="O283" s="298">
        <f>IFERROR(ROUND(IF('Состав ВТК'!$K276=справочник!$A$5,(IF(AND($A283='Состав ВТК'!$B276,$O$10=$C283),$F283*$D283*VLOOKUP($B283,Расценка!$H$3:$K$9,4,FALSE),0)),0),2),"-")</f>
        <v>0</v>
      </c>
      <c r="P283" s="299">
        <f t="shared" si="41"/>
        <v>0</v>
      </c>
      <c r="Q283" s="300">
        <f t="shared" si="46"/>
        <v>0</v>
      </c>
      <c r="R283" s="300">
        <f t="shared" si="47"/>
        <v>0</v>
      </c>
      <c r="S283" s="295">
        <f t="shared" si="42"/>
        <v>0</v>
      </c>
      <c r="T283" s="298">
        <f>IFERROR(ROUND(IF(AND('Расчет участников НИР'!$A283='Состав ВТК'!$B276,'Расчет участников НИР'!$T$10='Состав ВТК'!$I276),$E283,0),2),"-")</f>
        <v>0</v>
      </c>
      <c r="U283" s="298">
        <f>IFERROR(ROUND(IF(AND('Расчет участников НИР'!$A283='Состав ВТК'!$B276,'Расчет участников НИР'!$U$10='Состав ВТК'!$I276),$E283,0),2),"-")</f>
        <v>0</v>
      </c>
      <c r="V283" s="298">
        <f>IFERROR(ROUND(IF(AND('Расчет участников НИР'!$A283='Состав ВТК'!$B276,'Расчет участников НИР'!$V$10='Состав ВТК'!$I276),$E283,0),2),"-")</f>
        <v>0</v>
      </c>
      <c r="W283" s="301" t="str">
        <f t="shared" si="43"/>
        <v>-</v>
      </c>
      <c r="X283" s="301" t="str">
        <f t="shared" si="44"/>
        <v>-</v>
      </c>
      <c r="Y283" s="301" t="str">
        <f t="shared" si="45"/>
        <v>-</v>
      </c>
    </row>
    <row r="284" spans="1:25" x14ac:dyDescent="0.25">
      <c r="A284" s="217">
        <f>'Состав ВТК'!B277</f>
        <v>0</v>
      </c>
      <c r="B284" s="290">
        <f>IFERROR(VLOOKUP($A284,Распределение!$B$13:$L$113,11,FALSE),"-")</f>
        <v>0</v>
      </c>
      <c r="C284" s="291" t="str">
        <f>IFERROR(IF(VLOOKUP($B284,Расценка!$H$3:$I$9,2,FALSE)="НС",Расценка!$T$11,Расценка!$T$12),"-")</f>
        <v>-</v>
      </c>
      <c r="D284" s="291">
        <f>IFERROR(INDEX(Распределение!$1:$1048576,MATCH($A284,Распределение!$B:$B,0),MATCH($D$8,Распределение!$9:$9,0)),"---")</f>
        <v>0</v>
      </c>
      <c r="E284" s="292">
        <f>IFERROR(SUMIFS('Трудозатраты членов ВТК'!$G$17:$G$117,'Трудозатраты членов ВТК'!$D$17:$D$117,A:A),"-")</f>
        <v>0</v>
      </c>
      <c r="F284" s="293">
        <f>IFERROR(SUMIFS('Трудозатраты членов ВТК'!$F$464:$F$713,'Трудозатраты членов ВТК'!$D$464:$D$713,A:A),"-")</f>
        <v>0</v>
      </c>
      <c r="G284" s="302"/>
      <c r="H284" s="295">
        <f t="shared" si="39"/>
        <v>0</v>
      </c>
      <c r="I284" s="296">
        <f>IFERROR(ROUND(IF('Состав ВТК'!$K277=справочник!$A$5,IF(AND('Расчет участников НИР'!$A284='Состав ВТК'!$B277,$I$10='Состав ВТК'!$I277),$F284*$D284*VLOOKUP('Расчет участников НИР'!$B284,Расценка!$C$3:$E$13,3,FALSE),0),0),2),"-")</f>
        <v>0</v>
      </c>
      <c r="J284" s="296">
        <f>IFERROR(ROUND(IF('Состав ВТК'!$K277=справочник!$A$5,IF(AND('Расчет участников НИР'!$A284='Состав ВТК'!$B277,$J$10='Состав ВТК'!$I277),$F284*$D284*VLOOKUP('Расчет участников НИР'!$B284,Расценка!$C$3:$E$13,3,FALSE),0),0),2),"-")</f>
        <v>0</v>
      </c>
      <c r="K284" s="296">
        <f>IFERROR(ROUND(IF('Состав ВТК'!$K277=справочник!$A$5,IF(AND('Расчет участников НИР'!$A284='Состав ВТК'!$B277,$K$10='Состав ВТК'!$I277),$F284*$D284*VLOOKUP('Расчет участников НИР'!$B284,Расценка!$C$3:$E$13,3,FALSE),0),0),2),"-")</f>
        <v>0</v>
      </c>
      <c r="L284" s="297"/>
      <c r="M284" s="295">
        <f t="shared" si="40"/>
        <v>0</v>
      </c>
      <c r="N284" s="298">
        <f>IFERROR(ROUND(IF('Состав ВТК'!$K277=справочник!$A$5,(IF(AND($A284='Состав ВТК'!$B277,$N$10=$C284),$F284*$D284*VLOOKUP($B284,Расценка!$H$3:$K$9,4,FALSE),0)),0),2),"-")</f>
        <v>0</v>
      </c>
      <c r="O284" s="298">
        <f>IFERROR(ROUND(IF('Состав ВТК'!$K277=справочник!$A$5,(IF(AND($A284='Состав ВТК'!$B277,$O$10=$C284),$F284*$D284*VLOOKUP($B284,Расценка!$H$3:$K$9,4,FALSE),0)),0),2),"-")</f>
        <v>0</v>
      </c>
      <c r="P284" s="299">
        <f t="shared" si="41"/>
        <v>0</v>
      </c>
      <c r="Q284" s="300">
        <f t="shared" si="46"/>
        <v>0</v>
      </c>
      <c r="R284" s="300">
        <f t="shared" si="47"/>
        <v>0</v>
      </c>
      <c r="S284" s="295">
        <f t="shared" si="42"/>
        <v>0</v>
      </c>
      <c r="T284" s="298">
        <f>IFERROR(ROUND(IF(AND('Расчет участников НИР'!$A284='Состав ВТК'!$B277,'Расчет участников НИР'!$T$10='Состав ВТК'!$I277),$E284,0),2),"-")</f>
        <v>0</v>
      </c>
      <c r="U284" s="298">
        <f>IFERROR(ROUND(IF(AND('Расчет участников НИР'!$A284='Состав ВТК'!$B277,'Расчет участников НИР'!$U$10='Состав ВТК'!$I277),$E284,0),2),"-")</f>
        <v>0</v>
      </c>
      <c r="V284" s="298">
        <f>IFERROR(ROUND(IF(AND('Расчет участников НИР'!$A284='Состав ВТК'!$B277,'Расчет участников НИР'!$V$10='Состав ВТК'!$I277),$E284,0),2),"-")</f>
        <v>0</v>
      </c>
      <c r="W284" s="301" t="str">
        <f t="shared" si="43"/>
        <v>-</v>
      </c>
      <c r="X284" s="301" t="str">
        <f t="shared" si="44"/>
        <v>-</v>
      </c>
      <c r="Y284" s="301" t="str">
        <f t="shared" si="45"/>
        <v>-</v>
      </c>
    </row>
    <row r="285" spans="1:25" x14ac:dyDescent="0.25">
      <c r="A285" s="217">
        <f>'Состав ВТК'!B278</f>
        <v>0</v>
      </c>
      <c r="B285" s="290">
        <f>IFERROR(VLOOKUP($A285,Распределение!$B$13:$L$113,11,FALSE),"-")</f>
        <v>0</v>
      </c>
      <c r="C285" s="291" t="str">
        <f>IFERROR(IF(VLOOKUP($B285,Расценка!$H$3:$I$9,2,FALSE)="НС",Расценка!$T$11,Расценка!$T$12),"-")</f>
        <v>-</v>
      </c>
      <c r="D285" s="291">
        <f>IFERROR(INDEX(Распределение!$1:$1048576,MATCH($A285,Распределение!$B:$B,0),MATCH($D$8,Распределение!$9:$9,0)),"---")</f>
        <v>0</v>
      </c>
      <c r="E285" s="292">
        <f>IFERROR(SUMIFS('Трудозатраты членов ВТК'!$G$17:$G$117,'Трудозатраты членов ВТК'!$D$17:$D$117,A:A),"-")</f>
        <v>0</v>
      </c>
      <c r="F285" s="293">
        <f>IFERROR(SUMIFS('Трудозатраты членов ВТК'!$F$464:$F$713,'Трудозатраты членов ВТК'!$D$464:$D$713,A:A),"-")</f>
        <v>0</v>
      </c>
      <c r="G285" s="302"/>
      <c r="H285" s="295">
        <f t="shared" si="39"/>
        <v>0</v>
      </c>
      <c r="I285" s="296">
        <f>IFERROR(ROUND(IF('Состав ВТК'!$K278=справочник!$A$5,IF(AND('Расчет участников НИР'!$A285='Состав ВТК'!$B278,$I$10='Состав ВТК'!$I278),$F285*$D285*VLOOKUP('Расчет участников НИР'!$B285,Расценка!$C$3:$E$13,3,FALSE),0),0),2),"-")</f>
        <v>0</v>
      </c>
      <c r="J285" s="296">
        <f>IFERROR(ROUND(IF('Состав ВТК'!$K278=справочник!$A$5,IF(AND('Расчет участников НИР'!$A285='Состав ВТК'!$B278,$J$10='Состав ВТК'!$I278),$F285*$D285*VLOOKUP('Расчет участников НИР'!$B285,Расценка!$C$3:$E$13,3,FALSE),0),0),2),"-")</f>
        <v>0</v>
      </c>
      <c r="K285" s="296">
        <f>IFERROR(ROUND(IF('Состав ВТК'!$K278=справочник!$A$5,IF(AND('Расчет участников НИР'!$A285='Состав ВТК'!$B278,$K$10='Состав ВТК'!$I278),$F285*$D285*VLOOKUP('Расчет участников НИР'!$B285,Расценка!$C$3:$E$13,3,FALSE),0),0),2),"-")</f>
        <v>0</v>
      </c>
      <c r="L285" s="297"/>
      <c r="M285" s="295">
        <f t="shared" si="40"/>
        <v>0</v>
      </c>
      <c r="N285" s="298">
        <f>IFERROR(ROUND(IF('Состав ВТК'!$K278=справочник!$A$5,(IF(AND($A285='Состав ВТК'!$B278,$N$10=$C285),$F285*$D285*VLOOKUP($B285,Расценка!$H$3:$K$9,4,FALSE),0)),0),2),"-")</f>
        <v>0</v>
      </c>
      <c r="O285" s="298">
        <f>IFERROR(ROUND(IF('Состав ВТК'!$K278=справочник!$A$5,(IF(AND($A285='Состав ВТК'!$B278,$O$10=$C285),$F285*$D285*VLOOKUP($B285,Расценка!$H$3:$K$9,4,FALSE),0)),0),2),"-")</f>
        <v>0</v>
      </c>
      <c r="P285" s="299">
        <f t="shared" si="41"/>
        <v>0</v>
      </c>
      <c r="Q285" s="300">
        <f t="shared" si="46"/>
        <v>0</v>
      </c>
      <c r="R285" s="300">
        <f t="shared" si="47"/>
        <v>0</v>
      </c>
      <c r="S285" s="295">
        <f t="shared" si="42"/>
        <v>0</v>
      </c>
      <c r="T285" s="298">
        <f>IFERROR(ROUND(IF(AND('Расчет участников НИР'!$A285='Состав ВТК'!$B278,'Расчет участников НИР'!$T$10='Состав ВТК'!$I278),$E285,0),2),"-")</f>
        <v>0</v>
      </c>
      <c r="U285" s="298">
        <f>IFERROR(ROUND(IF(AND('Расчет участников НИР'!$A285='Состав ВТК'!$B278,'Расчет участников НИР'!$U$10='Состав ВТК'!$I278),$E285,0),2),"-")</f>
        <v>0</v>
      </c>
      <c r="V285" s="298">
        <f>IFERROR(ROUND(IF(AND('Расчет участников НИР'!$A285='Состав ВТК'!$B278,'Расчет участников НИР'!$V$10='Состав ВТК'!$I278),$E285,0),2),"-")</f>
        <v>0</v>
      </c>
      <c r="W285" s="301" t="str">
        <f t="shared" si="43"/>
        <v>-</v>
      </c>
      <c r="X285" s="301" t="str">
        <f t="shared" si="44"/>
        <v>-</v>
      </c>
      <c r="Y285" s="301" t="str">
        <f t="shared" si="45"/>
        <v>-</v>
      </c>
    </row>
    <row r="286" spans="1:25" x14ac:dyDescent="0.25">
      <c r="A286" s="217">
        <f>'Состав ВТК'!B279</f>
        <v>0</v>
      </c>
      <c r="B286" s="290">
        <f>IFERROR(VLOOKUP($A286,Распределение!$B$13:$L$113,11,FALSE),"-")</f>
        <v>0</v>
      </c>
      <c r="C286" s="291" t="str">
        <f>IFERROR(IF(VLOOKUP($B286,Расценка!$H$3:$I$9,2,FALSE)="НС",Расценка!$T$11,Расценка!$T$12),"-")</f>
        <v>-</v>
      </c>
      <c r="D286" s="291">
        <f>IFERROR(INDEX(Распределение!$1:$1048576,MATCH($A286,Распределение!$B:$B,0),MATCH($D$8,Распределение!$9:$9,0)),"---")</f>
        <v>0</v>
      </c>
      <c r="E286" s="292">
        <f>IFERROR(SUMIFS('Трудозатраты членов ВТК'!$G$17:$G$117,'Трудозатраты членов ВТК'!$D$17:$D$117,A:A),"-")</f>
        <v>0</v>
      </c>
      <c r="F286" s="293">
        <f>IFERROR(SUMIFS('Трудозатраты членов ВТК'!$F$464:$F$713,'Трудозатраты членов ВТК'!$D$464:$D$713,A:A),"-")</f>
        <v>0</v>
      </c>
      <c r="G286" s="302"/>
      <c r="H286" s="295">
        <f t="shared" si="39"/>
        <v>0</v>
      </c>
      <c r="I286" s="296">
        <f>IFERROR(ROUND(IF('Состав ВТК'!$K279=справочник!$A$5,IF(AND('Расчет участников НИР'!$A286='Состав ВТК'!$B279,$I$10='Состав ВТК'!$I279),$F286*$D286*VLOOKUP('Расчет участников НИР'!$B286,Расценка!$C$3:$E$13,3,FALSE),0),0),2),"-")</f>
        <v>0</v>
      </c>
      <c r="J286" s="296">
        <f>IFERROR(ROUND(IF('Состав ВТК'!$K279=справочник!$A$5,IF(AND('Расчет участников НИР'!$A286='Состав ВТК'!$B279,$J$10='Состав ВТК'!$I279),$F286*$D286*VLOOKUP('Расчет участников НИР'!$B286,Расценка!$C$3:$E$13,3,FALSE),0),0),2),"-")</f>
        <v>0</v>
      </c>
      <c r="K286" s="296">
        <f>IFERROR(ROUND(IF('Состав ВТК'!$K279=справочник!$A$5,IF(AND('Расчет участников НИР'!$A286='Состав ВТК'!$B279,$K$10='Состав ВТК'!$I279),$F286*$D286*VLOOKUP('Расчет участников НИР'!$B286,Расценка!$C$3:$E$13,3,FALSE),0),0),2),"-")</f>
        <v>0</v>
      </c>
      <c r="L286" s="297"/>
      <c r="M286" s="295">
        <f t="shared" si="40"/>
        <v>0</v>
      </c>
      <c r="N286" s="298">
        <f>IFERROR(ROUND(IF('Состав ВТК'!$K279=справочник!$A$5,(IF(AND($A286='Состав ВТК'!$B279,$N$10=$C286),$F286*$D286*VLOOKUP($B286,Расценка!$H$3:$K$9,4,FALSE),0)),0),2),"-")</f>
        <v>0</v>
      </c>
      <c r="O286" s="298">
        <f>IFERROR(ROUND(IF('Состав ВТК'!$K279=справочник!$A$5,(IF(AND($A286='Состав ВТК'!$B279,$O$10=$C286),$F286*$D286*VLOOKUP($B286,Расценка!$H$3:$K$9,4,FALSE),0)),0),2),"-")</f>
        <v>0</v>
      </c>
      <c r="P286" s="299">
        <f t="shared" si="41"/>
        <v>0</v>
      </c>
      <c r="Q286" s="300">
        <f t="shared" si="46"/>
        <v>0</v>
      </c>
      <c r="R286" s="300">
        <f t="shared" si="47"/>
        <v>0</v>
      </c>
      <c r="S286" s="295">
        <f t="shared" si="42"/>
        <v>0</v>
      </c>
      <c r="T286" s="298">
        <f>IFERROR(ROUND(IF(AND('Расчет участников НИР'!$A286='Состав ВТК'!$B279,'Расчет участников НИР'!$T$10='Состав ВТК'!$I279),$E286,0),2),"-")</f>
        <v>0</v>
      </c>
      <c r="U286" s="298">
        <f>IFERROR(ROUND(IF(AND('Расчет участников НИР'!$A286='Состав ВТК'!$B279,'Расчет участников НИР'!$U$10='Состав ВТК'!$I279),$E286,0),2),"-")</f>
        <v>0</v>
      </c>
      <c r="V286" s="298">
        <f>IFERROR(ROUND(IF(AND('Расчет участников НИР'!$A286='Состав ВТК'!$B279,'Расчет участников НИР'!$V$10='Состав ВТК'!$I279),$E286,0),2),"-")</f>
        <v>0</v>
      </c>
      <c r="W286" s="301" t="str">
        <f t="shared" si="43"/>
        <v>-</v>
      </c>
      <c r="X286" s="301" t="str">
        <f t="shared" si="44"/>
        <v>-</v>
      </c>
      <c r="Y286" s="301" t="str">
        <f t="shared" si="45"/>
        <v>-</v>
      </c>
    </row>
    <row r="287" spans="1:25" x14ac:dyDescent="0.25">
      <c r="A287" s="217">
        <f>'Состав ВТК'!B280</f>
        <v>0</v>
      </c>
      <c r="B287" s="290">
        <f>IFERROR(VLOOKUP($A287,Распределение!$B$13:$L$113,11,FALSE),"-")</f>
        <v>0</v>
      </c>
      <c r="C287" s="291" t="str">
        <f>IFERROR(IF(VLOOKUP($B287,Расценка!$H$3:$I$9,2,FALSE)="НС",Расценка!$T$11,Расценка!$T$12),"-")</f>
        <v>-</v>
      </c>
      <c r="D287" s="291">
        <f>IFERROR(INDEX(Распределение!$1:$1048576,MATCH($A287,Распределение!$B:$B,0),MATCH($D$8,Распределение!$9:$9,0)),"---")</f>
        <v>0</v>
      </c>
      <c r="E287" s="292">
        <f>IFERROR(SUMIFS('Трудозатраты членов ВТК'!$G$17:$G$117,'Трудозатраты членов ВТК'!$D$17:$D$117,A:A),"-")</f>
        <v>0</v>
      </c>
      <c r="F287" s="293">
        <f>IFERROR(SUMIFS('Трудозатраты членов ВТК'!$F$464:$F$713,'Трудозатраты членов ВТК'!$D$464:$D$713,A:A),"-")</f>
        <v>0</v>
      </c>
      <c r="G287" s="302"/>
      <c r="H287" s="295">
        <f t="shared" si="39"/>
        <v>0</v>
      </c>
      <c r="I287" s="296">
        <f>IFERROR(ROUND(IF('Состав ВТК'!$K280=справочник!$A$5,IF(AND('Расчет участников НИР'!$A287='Состав ВТК'!$B280,$I$10='Состав ВТК'!$I280),$F287*$D287*VLOOKUP('Расчет участников НИР'!$B287,Расценка!$C$3:$E$13,3,FALSE),0),0),2),"-")</f>
        <v>0</v>
      </c>
      <c r="J287" s="296">
        <f>IFERROR(ROUND(IF('Состав ВТК'!$K280=справочник!$A$5,IF(AND('Расчет участников НИР'!$A287='Состав ВТК'!$B280,$J$10='Состав ВТК'!$I280),$F287*$D287*VLOOKUP('Расчет участников НИР'!$B287,Расценка!$C$3:$E$13,3,FALSE),0),0),2),"-")</f>
        <v>0</v>
      </c>
      <c r="K287" s="296">
        <f>IFERROR(ROUND(IF('Состав ВТК'!$K280=справочник!$A$5,IF(AND('Расчет участников НИР'!$A287='Состав ВТК'!$B280,$K$10='Состав ВТК'!$I280),$F287*$D287*VLOOKUP('Расчет участников НИР'!$B287,Расценка!$C$3:$E$13,3,FALSE),0),0),2),"-")</f>
        <v>0</v>
      </c>
      <c r="L287" s="297"/>
      <c r="M287" s="295">
        <f t="shared" si="40"/>
        <v>0</v>
      </c>
      <c r="N287" s="298">
        <f>IFERROR(ROUND(IF('Состав ВТК'!$K280=справочник!$A$5,(IF(AND($A287='Состав ВТК'!$B280,$N$10=$C287),$F287*$D287*VLOOKUP($B287,Расценка!$H$3:$K$9,4,FALSE),0)),0),2),"-")</f>
        <v>0</v>
      </c>
      <c r="O287" s="298">
        <f>IFERROR(ROUND(IF('Состав ВТК'!$K280=справочник!$A$5,(IF(AND($A287='Состав ВТК'!$B280,$O$10=$C287),$F287*$D287*VLOOKUP($B287,Расценка!$H$3:$K$9,4,FALSE),0)),0),2),"-")</f>
        <v>0</v>
      </c>
      <c r="P287" s="299">
        <f t="shared" si="41"/>
        <v>0</v>
      </c>
      <c r="Q287" s="300">
        <f t="shared" si="46"/>
        <v>0</v>
      </c>
      <c r="R287" s="300">
        <f t="shared" si="47"/>
        <v>0</v>
      </c>
      <c r="S287" s="295">
        <f t="shared" si="42"/>
        <v>0</v>
      </c>
      <c r="T287" s="298">
        <f>IFERROR(ROUND(IF(AND('Расчет участников НИР'!$A287='Состав ВТК'!$B280,'Расчет участников НИР'!$T$10='Состав ВТК'!$I280),$E287,0),2),"-")</f>
        <v>0</v>
      </c>
      <c r="U287" s="298">
        <f>IFERROR(ROUND(IF(AND('Расчет участников НИР'!$A287='Состав ВТК'!$B280,'Расчет участников НИР'!$U$10='Состав ВТК'!$I280),$E287,0),2),"-")</f>
        <v>0</v>
      </c>
      <c r="V287" s="298">
        <f>IFERROR(ROUND(IF(AND('Расчет участников НИР'!$A287='Состав ВТК'!$B280,'Расчет участников НИР'!$V$10='Состав ВТК'!$I280),$E287,0),2),"-")</f>
        <v>0</v>
      </c>
      <c r="W287" s="301" t="str">
        <f t="shared" si="43"/>
        <v>-</v>
      </c>
      <c r="X287" s="301" t="str">
        <f t="shared" si="44"/>
        <v>-</v>
      </c>
      <c r="Y287" s="301" t="str">
        <f t="shared" si="45"/>
        <v>-</v>
      </c>
    </row>
    <row r="288" spans="1:25" x14ac:dyDescent="0.25">
      <c r="A288" s="217">
        <f>'Состав ВТК'!B281</f>
        <v>0</v>
      </c>
      <c r="B288" s="290">
        <f>IFERROR(VLOOKUP($A288,Распределение!$B$13:$L$113,11,FALSE),"-")</f>
        <v>0</v>
      </c>
      <c r="C288" s="291" t="str">
        <f>IFERROR(IF(VLOOKUP($B288,Расценка!$H$3:$I$9,2,FALSE)="НС",Расценка!$T$11,Расценка!$T$12),"-")</f>
        <v>-</v>
      </c>
      <c r="D288" s="291">
        <f>IFERROR(INDEX(Распределение!$1:$1048576,MATCH($A288,Распределение!$B:$B,0),MATCH($D$8,Распределение!$9:$9,0)),"---")</f>
        <v>0</v>
      </c>
      <c r="E288" s="292">
        <f>IFERROR(SUMIFS('Трудозатраты членов ВТК'!$G$17:$G$117,'Трудозатраты членов ВТК'!$D$17:$D$117,A:A),"-")</f>
        <v>0</v>
      </c>
      <c r="F288" s="293">
        <f>IFERROR(SUMIFS('Трудозатраты членов ВТК'!$F$464:$F$713,'Трудозатраты членов ВТК'!$D$464:$D$713,A:A),"-")</f>
        <v>0</v>
      </c>
      <c r="G288" s="302"/>
      <c r="H288" s="295">
        <f t="shared" si="39"/>
        <v>0</v>
      </c>
      <c r="I288" s="296">
        <f>IFERROR(ROUND(IF('Состав ВТК'!$K281=справочник!$A$5,IF(AND('Расчет участников НИР'!$A288='Состав ВТК'!$B281,$I$10='Состав ВТК'!$I281),$F288*$D288*VLOOKUP('Расчет участников НИР'!$B288,Расценка!$C$3:$E$13,3,FALSE),0),0),2),"-")</f>
        <v>0</v>
      </c>
      <c r="J288" s="296">
        <f>IFERROR(ROUND(IF('Состав ВТК'!$K281=справочник!$A$5,IF(AND('Расчет участников НИР'!$A288='Состав ВТК'!$B281,$J$10='Состав ВТК'!$I281),$F288*$D288*VLOOKUP('Расчет участников НИР'!$B288,Расценка!$C$3:$E$13,3,FALSE),0),0),2),"-")</f>
        <v>0</v>
      </c>
      <c r="K288" s="296">
        <f>IFERROR(ROUND(IF('Состав ВТК'!$K281=справочник!$A$5,IF(AND('Расчет участников НИР'!$A288='Состав ВТК'!$B281,$K$10='Состав ВТК'!$I281),$F288*$D288*VLOOKUP('Расчет участников НИР'!$B288,Расценка!$C$3:$E$13,3,FALSE),0),0),2),"-")</f>
        <v>0</v>
      </c>
      <c r="L288" s="297"/>
      <c r="M288" s="295">
        <f t="shared" si="40"/>
        <v>0</v>
      </c>
      <c r="N288" s="298">
        <f>IFERROR(ROUND(IF('Состав ВТК'!$K281=справочник!$A$5,(IF(AND($A288='Состав ВТК'!$B281,$N$10=$C288),$F288*$D288*VLOOKUP($B288,Расценка!$H$3:$K$9,4,FALSE),0)),0),2),"-")</f>
        <v>0</v>
      </c>
      <c r="O288" s="298">
        <f>IFERROR(ROUND(IF('Состав ВТК'!$K281=справочник!$A$5,(IF(AND($A288='Состав ВТК'!$B281,$O$10=$C288),$F288*$D288*VLOOKUP($B288,Расценка!$H$3:$K$9,4,FALSE),0)),0),2),"-")</f>
        <v>0</v>
      </c>
      <c r="P288" s="299">
        <f t="shared" si="41"/>
        <v>0</v>
      </c>
      <c r="Q288" s="300">
        <f t="shared" si="46"/>
        <v>0</v>
      </c>
      <c r="R288" s="300">
        <f t="shared" si="47"/>
        <v>0</v>
      </c>
      <c r="S288" s="295">
        <f t="shared" si="42"/>
        <v>0</v>
      </c>
      <c r="T288" s="298">
        <f>IFERROR(ROUND(IF(AND('Расчет участников НИР'!$A288='Состав ВТК'!$B281,'Расчет участников НИР'!$T$10='Состав ВТК'!$I281),$E288,0),2),"-")</f>
        <v>0</v>
      </c>
      <c r="U288" s="298">
        <f>IFERROR(ROUND(IF(AND('Расчет участников НИР'!$A288='Состав ВТК'!$B281,'Расчет участников НИР'!$U$10='Состав ВТК'!$I281),$E288,0),2),"-")</f>
        <v>0</v>
      </c>
      <c r="V288" s="298">
        <f>IFERROR(ROUND(IF(AND('Расчет участников НИР'!$A288='Состав ВТК'!$B281,'Расчет участников НИР'!$V$10='Состав ВТК'!$I281),$E288,0),2),"-")</f>
        <v>0</v>
      </c>
      <c r="W288" s="301" t="str">
        <f t="shared" si="43"/>
        <v>-</v>
      </c>
      <c r="X288" s="301" t="str">
        <f t="shared" si="44"/>
        <v>-</v>
      </c>
      <c r="Y288" s="301" t="str">
        <f t="shared" si="45"/>
        <v>-</v>
      </c>
    </row>
    <row r="289" spans="1:25" x14ac:dyDescent="0.25">
      <c r="A289" s="217">
        <f>'Состав ВТК'!B282</f>
        <v>0</v>
      </c>
      <c r="B289" s="290">
        <f>IFERROR(VLOOKUP($A289,Распределение!$B$13:$L$113,11,FALSE),"-")</f>
        <v>0</v>
      </c>
      <c r="C289" s="291" t="str">
        <f>IFERROR(IF(VLOOKUP($B289,Расценка!$H$3:$I$9,2,FALSE)="НС",Расценка!$T$11,Расценка!$T$12),"-")</f>
        <v>-</v>
      </c>
      <c r="D289" s="291">
        <f>IFERROR(INDEX(Распределение!$1:$1048576,MATCH($A289,Распределение!$B:$B,0),MATCH($D$8,Распределение!$9:$9,0)),"---")</f>
        <v>0</v>
      </c>
      <c r="E289" s="292">
        <f>IFERROR(SUMIFS('Трудозатраты членов ВТК'!$G$17:$G$117,'Трудозатраты членов ВТК'!$D$17:$D$117,A:A),"-")</f>
        <v>0</v>
      </c>
      <c r="F289" s="293">
        <f>IFERROR(SUMIFS('Трудозатраты членов ВТК'!$F$464:$F$713,'Трудозатраты членов ВТК'!$D$464:$D$713,A:A),"-")</f>
        <v>0</v>
      </c>
      <c r="G289" s="302"/>
      <c r="H289" s="295">
        <f t="shared" si="39"/>
        <v>0</v>
      </c>
      <c r="I289" s="296">
        <f>IFERROR(ROUND(IF('Состав ВТК'!$K282=справочник!$A$5,IF(AND('Расчет участников НИР'!$A289='Состав ВТК'!$B282,$I$10='Состав ВТК'!$I282),$F289*$D289*VLOOKUP('Расчет участников НИР'!$B289,Расценка!$C$3:$E$13,3,FALSE),0),0),2),"-")</f>
        <v>0</v>
      </c>
      <c r="J289" s="296">
        <f>IFERROR(ROUND(IF('Состав ВТК'!$K282=справочник!$A$5,IF(AND('Расчет участников НИР'!$A289='Состав ВТК'!$B282,$J$10='Состав ВТК'!$I282),$F289*$D289*VLOOKUP('Расчет участников НИР'!$B289,Расценка!$C$3:$E$13,3,FALSE),0),0),2),"-")</f>
        <v>0</v>
      </c>
      <c r="K289" s="296">
        <f>IFERROR(ROUND(IF('Состав ВТК'!$K282=справочник!$A$5,IF(AND('Расчет участников НИР'!$A289='Состав ВТК'!$B282,$K$10='Состав ВТК'!$I282),$F289*$D289*VLOOKUP('Расчет участников НИР'!$B289,Расценка!$C$3:$E$13,3,FALSE),0),0),2),"-")</f>
        <v>0</v>
      </c>
      <c r="L289" s="297"/>
      <c r="M289" s="295">
        <f t="shared" si="40"/>
        <v>0</v>
      </c>
      <c r="N289" s="298">
        <f>IFERROR(ROUND(IF('Состав ВТК'!$K282=справочник!$A$5,(IF(AND($A289='Состав ВТК'!$B282,$N$10=$C289),$F289*$D289*VLOOKUP($B289,Расценка!$H$3:$K$9,4,FALSE),0)),0),2),"-")</f>
        <v>0</v>
      </c>
      <c r="O289" s="298">
        <f>IFERROR(ROUND(IF('Состав ВТК'!$K282=справочник!$A$5,(IF(AND($A289='Состав ВТК'!$B282,$O$10=$C289),$F289*$D289*VLOOKUP($B289,Расценка!$H$3:$K$9,4,FALSE),0)),0),2),"-")</f>
        <v>0</v>
      </c>
      <c r="P289" s="299">
        <f t="shared" si="41"/>
        <v>0</v>
      </c>
      <c r="Q289" s="300">
        <f t="shared" si="46"/>
        <v>0</v>
      </c>
      <c r="R289" s="300">
        <f t="shared" si="47"/>
        <v>0</v>
      </c>
      <c r="S289" s="295">
        <f t="shared" si="42"/>
        <v>0</v>
      </c>
      <c r="T289" s="298">
        <f>IFERROR(ROUND(IF(AND('Расчет участников НИР'!$A289='Состав ВТК'!$B282,'Расчет участников НИР'!$T$10='Состав ВТК'!$I282),$E289,0),2),"-")</f>
        <v>0</v>
      </c>
      <c r="U289" s="298">
        <f>IFERROR(ROUND(IF(AND('Расчет участников НИР'!$A289='Состав ВТК'!$B282,'Расчет участников НИР'!$U$10='Состав ВТК'!$I282),$E289,0),2),"-")</f>
        <v>0</v>
      </c>
      <c r="V289" s="298">
        <f>IFERROR(ROUND(IF(AND('Расчет участников НИР'!$A289='Состав ВТК'!$B282,'Расчет участников НИР'!$V$10='Состав ВТК'!$I282),$E289,0),2),"-")</f>
        <v>0</v>
      </c>
      <c r="W289" s="301" t="str">
        <f t="shared" si="43"/>
        <v>-</v>
      </c>
      <c r="X289" s="301" t="str">
        <f t="shared" si="44"/>
        <v>-</v>
      </c>
      <c r="Y289" s="301" t="str">
        <f t="shared" si="45"/>
        <v>-</v>
      </c>
    </row>
    <row r="290" spans="1:25" x14ac:dyDescent="0.25">
      <c r="A290" s="217">
        <f>'Состав ВТК'!B283</f>
        <v>0</v>
      </c>
      <c r="B290" s="290">
        <f>IFERROR(VLOOKUP($A290,Распределение!$B$13:$L$113,11,FALSE),"-")</f>
        <v>0</v>
      </c>
      <c r="C290" s="291" t="str">
        <f>IFERROR(IF(VLOOKUP($B290,Расценка!$H$3:$I$9,2,FALSE)="НС",Расценка!$T$11,Расценка!$T$12),"-")</f>
        <v>-</v>
      </c>
      <c r="D290" s="291">
        <f>IFERROR(INDEX(Распределение!$1:$1048576,MATCH($A290,Распределение!$B:$B,0),MATCH($D$8,Распределение!$9:$9,0)),"---")</f>
        <v>0</v>
      </c>
      <c r="E290" s="292">
        <f>IFERROR(SUMIFS('Трудозатраты членов ВТК'!$G$17:$G$117,'Трудозатраты членов ВТК'!$D$17:$D$117,A:A),"-")</f>
        <v>0</v>
      </c>
      <c r="F290" s="293">
        <f>IFERROR(SUMIFS('Трудозатраты членов ВТК'!$F$464:$F$713,'Трудозатраты членов ВТК'!$D$464:$D$713,A:A),"-")</f>
        <v>0</v>
      </c>
      <c r="G290" s="302"/>
      <c r="H290" s="295">
        <f t="shared" si="39"/>
        <v>0</v>
      </c>
      <c r="I290" s="296">
        <f>IFERROR(ROUND(IF('Состав ВТК'!$K283=справочник!$A$5,IF(AND('Расчет участников НИР'!$A290='Состав ВТК'!$B283,$I$10='Состав ВТК'!$I283),$F290*$D290*VLOOKUP('Расчет участников НИР'!$B290,Расценка!$C$3:$E$13,3,FALSE),0),0),2),"-")</f>
        <v>0</v>
      </c>
      <c r="J290" s="296">
        <f>IFERROR(ROUND(IF('Состав ВТК'!$K283=справочник!$A$5,IF(AND('Расчет участников НИР'!$A290='Состав ВТК'!$B283,$J$10='Состав ВТК'!$I283),$F290*$D290*VLOOKUP('Расчет участников НИР'!$B290,Расценка!$C$3:$E$13,3,FALSE),0),0),2),"-")</f>
        <v>0</v>
      </c>
      <c r="K290" s="296">
        <f>IFERROR(ROUND(IF('Состав ВТК'!$K283=справочник!$A$5,IF(AND('Расчет участников НИР'!$A290='Состав ВТК'!$B283,$K$10='Состав ВТК'!$I283),$F290*$D290*VLOOKUP('Расчет участников НИР'!$B290,Расценка!$C$3:$E$13,3,FALSE),0),0),2),"-")</f>
        <v>0</v>
      </c>
      <c r="L290" s="297"/>
      <c r="M290" s="295">
        <f t="shared" si="40"/>
        <v>0</v>
      </c>
      <c r="N290" s="298">
        <f>IFERROR(ROUND(IF('Состав ВТК'!$K283=справочник!$A$5,(IF(AND($A290='Состав ВТК'!$B283,$N$10=$C290),$F290*$D290*VLOOKUP($B290,Расценка!$H$3:$K$9,4,FALSE),0)),0),2),"-")</f>
        <v>0</v>
      </c>
      <c r="O290" s="298">
        <f>IFERROR(ROUND(IF('Состав ВТК'!$K283=справочник!$A$5,(IF(AND($A290='Состав ВТК'!$B283,$O$10=$C290),$F290*$D290*VLOOKUP($B290,Расценка!$H$3:$K$9,4,FALSE),0)),0),2),"-")</f>
        <v>0</v>
      </c>
      <c r="P290" s="299">
        <f t="shared" si="41"/>
        <v>0</v>
      </c>
      <c r="Q290" s="300">
        <f t="shared" si="46"/>
        <v>0</v>
      </c>
      <c r="R290" s="300">
        <f t="shared" si="47"/>
        <v>0</v>
      </c>
      <c r="S290" s="295">
        <f t="shared" si="42"/>
        <v>0</v>
      </c>
      <c r="T290" s="298">
        <f>IFERROR(ROUND(IF(AND('Расчет участников НИР'!$A290='Состав ВТК'!$B283,'Расчет участников НИР'!$T$10='Состав ВТК'!$I283),$E290,0),2),"-")</f>
        <v>0</v>
      </c>
      <c r="U290" s="298">
        <f>IFERROR(ROUND(IF(AND('Расчет участников НИР'!$A290='Состав ВТК'!$B283,'Расчет участников НИР'!$U$10='Состав ВТК'!$I283),$E290,0),2),"-")</f>
        <v>0</v>
      </c>
      <c r="V290" s="298">
        <f>IFERROR(ROUND(IF(AND('Расчет участников НИР'!$A290='Состав ВТК'!$B283,'Расчет участников НИР'!$V$10='Состав ВТК'!$I283),$E290,0),2),"-")</f>
        <v>0</v>
      </c>
      <c r="W290" s="301" t="str">
        <f t="shared" si="43"/>
        <v>-</v>
      </c>
      <c r="X290" s="301" t="str">
        <f t="shared" si="44"/>
        <v>-</v>
      </c>
      <c r="Y290" s="301" t="str">
        <f t="shared" si="45"/>
        <v>-</v>
      </c>
    </row>
    <row r="291" spans="1:25" x14ac:dyDescent="0.25">
      <c r="A291" s="217">
        <f>'Состав ВТК'!B284</f>
        <v>0</v>
      </c>
      <c r="B291" s="290">
        <f>IFERROR(VLOOKUP($A291,Распределение!$B$13:$L$113,11,FALSE),"-")</f>
        <v>0</v>
      </c>
      <c r="C291" s="291" t="str">
        <f>IFERROR(IF(VLOOKUP($B291,Расценка!$H$3:$I$9,2,FALSE)="НС",Расценка!$T$11,Расценка!$T$12),"-")</f>
        <v>-</v>
      </c>
      <c r="D291" s="291">
        <f>IFERROR(INDEX(Распределение!$1:$1048576,MATCH($A291,Распределение!$B:$B,0),MATCH($D$8,Распределение!$9:$9,0)),"---")</f>
        <v>0</v>
      </c>
      <c r="E291" s="292">
        <f>IFERROR(SUMIFS('Трудозатраты членов ВТК'!$G$17:$G$117,'Трудозатраты членов ВТК'!$D$17:$D$117,A:A),"-")</f>
        <v>0</v>
      </c>
      <c r="F291" s="293">
        <f>IFERROR(SUMIFS('Трудозатраты членов ВТК'!$F$464:$F$713,'Трудозатраты членов ВТК'!$D$464:$D$713,A:A),"-")</f>
        <v>0</v>
      </c>
      <c r="G291" s="302"/>
      <c r="H291" s="295">
        <f t="shared" si="39"/>
        <v>0</v>
      </c>
      <c r="I291" s="296">
        <f>IFERROR(ROUND(IF('Состав ВТК'!$K284=справочник!$A$5,IF(AND('Расчет участников НИР'!$A291='Состав ВТК'!$B284,$I$10='Состав ВТК'!$I284),$F291*$D291*VLOOKUP('Расчет участников НИР'!$B291,Расценка!$C$3:$E$13,3,FALSE),0),0),2),"-")</f>
        <v>0</v>
      </c>
      <c r="J291" s="296">
        <f>IFERROR(ROUND(IF('Состав ВТК'!$K284=справочник!$A$5,IF(AND('Расчет участников НИР'!$A291='Состав ВТК'!$B284,$J$10='Состав ВТК'!$I284),$F291*$D291*VLOOKUP('Расчет участников НИР'!$B291,Расценка!$C$3:$E$13,3,FALSE),0),0),2),"-")</f>
        <v>0</v>
      </c>
      <c r="K291" s="296">
        <f>IFERROR(ROUND(IF('Состав ВТК'!$K284=справочник!$A$5,IF(AND('Расчет участников НИР'!$A291='Состав ВТК'!$B284,$K$10='Состав ВТК'!$I284),$F291*$D291*VLOOKUP('Расчет участников НИР'!$B291,Расценка!$C$3:$E$13,3,FALSE),0),0),2),"-")</f>
        <v>0</v>
      </c>
      <c r="L291" s="297"/>
      <c r="M291" s="295">
        <f t="shared" si="40"/>
        <v>0</v>
      </c>
      <c r="N291" s="298">
        <f>IFERROR(ROUND(IF('Состав ВТК'!$K284=справочник!$A$5,(IF(AND($A291='Состав ВТК'!$B284,$N$10=$C291),$F291*$D291*VLOOKUP($B291,Расценка!$H$3:$K$9,4,FALSE),0)),0),2),"-")</f>
        <v>0</v>
      </c>
      <c r="O291" s="298">
        <f>IFERROR(ROUND(IF('Состав ВТК'!$K284=справочник!$A$5,(IF(AND($A291='Состав ВТК'!$B284,$O$10=$C291),$F291*$D291*VLOOKUP($B291,Расценка!$H$3:$K$9,4,FALSE),0)),0),2),"-")</f>
        <v>0</v>
      </c>
      <c r="P291" s="299">
        <f t="shared" si="41"/>
        <v>0</v>
      </c>
      <c r="Q291" s="300">
        <f t="shared" si="46"/>
        <v>0</v>
      </c>
      <c r="R291" s="300">
        <f t="shared" si="47"/>
        <v>0</v>
      </c>
      <c r="S291" s="295">
        <f t="shared" si="42"/>
        <v>0</v>
      </c>
      <c r="T291" s="298">
        <f>IFERROR(ROUND(IF(AND('Расчет участников НИР'!$A291='Состав ВТК'!$B284,'Расчет участников НИР'!$T$10='Состав ВТК'!$I284),$E291,0),2),"-")</f>
        <v>0</v>
      </c>
      <c r="U291" s="298">
        <f>IFERROR(ROUND(IF(AND('Расчет участников НИР'!$A291='Состав ВТК'!$B284,'Расчет участников НИР'!$U$10='Состав ВТК'!$I284),$E291,0),2),"-")</f>
        <v>0</v>
      </c>
      <c r="V291" s="298">
        <f>IFERROR(ROUND(IF(AND('Расчет участников НИР'!$A291='Состав ВТК'!$B284,'Расчет участников НИР'!$V$10='Состав ВТК'!$I284),$E291,0),2),"-")</f>
        <v>0</v>
      </c>
      <c r="W291" s="301" t="str">
        <f t="shared" si="43"/>
        <v>-</v>
      </c>
      <c r="X291" s="301" t="str">
        <f t="shared" si="44"/>
        <v>-</v>
      </c>
      <c r="Y291" s="301" t="str">
        <f t="shared" si="45"/>
        <v>-</v>
      </c>
    </row>
    <row r="292" spans="1:25" x14ac:dyDescent="0.25">
      <c r="A292" s="217">
        <f>'Состав ВТК'!B285</f>
        <v>0</v>
      </c>
      <c r="B292" s="290">
        <f>IFERROR(VLOOKUP($A292,Распределение!$B$13:$L$113,11,FALSE),"-")</f>
        <v>0</v>
      </c>
      <c r="C292" s="291" t="str">
        <f>IFERROR(IF(VLOOKUP($B292,Расценка!$H$3:$I$9,2,FALSE)="НС",Расценка!$T$11,Расценка!$T$12),"-")</f>
        <v>-</v>
      </c>
      <c r="D292" s="291">
        <f>IFERROR(INDEX(Распределение!$1:$1048576,MATCH($A292,Распределение!$B:$B,0),MATCH($D$8,Распределение!$9:$9,0)),"---")</f>
        <v>0</v>
      </c>
      <c r="E292" s="292">
        <f>IFERROR(SUMIFS('Трудозатраты членов ВТК'!$G$17:$G$117,'Трудозатраты членов ВТК'!$D$17:$D$117,A:A),"-")</f>
        <v>0</v>
      </c>
      <c r="F292" s="293">
        <f>IFERROR(SUMIFS('Трудозатраты членов ВТК'!$F$464:$F$713,'Трудозатраты членов ВТК'!$D$464:$D$713,A:A),"-")</f>
        <v>0</v>
      </c>
      <c r="G292" s="302"/>
      <c r="H292" s="295">
        <f t="shared" si="39"/>
        <v>0</v>
      </c>
      <c r="I292" s="296">
        <f>IFERROR(ROUND(IF('Состав ВТК'!$K285=справочник!$A$5,IF(AND('Расчет участников НИР'!$A292='Состав ВТК'!$B285,$I$10='Состав ВТК'!$I285),$F292*$D292*VLOOKUP('Расчет участников НИР'!$B292,Расценка!$C$3:$E$13,3,FALSE),0),0),2),"-")</f>
        <v>0</v>
      </c>
      <c r="J292" s="296">
        <f>IFERROR(ROUND(IF('Состав ВТК'!$K285=справочник!$A$5,IF(AND('Расчет участников НИР'!$A292='Состав ВТК'!$B285,$J$10='Состав ВТК'!$I285),$F292*$D292*VLOOKUP('Расчет участников НИР'!$B292,Расценка!$C$3:$E$13,3,FALSE),0),0),2),"-")</f>
        <v>0</v>
      </c>
      <c r="K292" s="296">
        <f>IFERROR(ROUND(IF('Состав ВТК'!$K285=справочник!$A$5,IF(AND('Расчет участников НИР'!$A292='Состав ВТК'!$B285,$K$10='Состав ВТК'!$I285),$F292*$D292*VLOOKUP('Расчет участников НИР'!$B292,Расценка!$C$3:$E$13,3,FALSE),0),0),2),"-")</f>
        <v>0</v>
      </c>
      <c r="L292" s="297"/>
      <c r="M292" s="295">
        <f t="shared" si="40"/>
        <v>0</v>
      </c>
      <c r="N292" s="298">
        <f>IFERROR(ROUND(IF('Состав ВТК'!$K285=справочник!$A$5,(IF(AND($A292='Состав ВТК'!$B285,$N$10=$C292),$F292*$D292*VLOOKUP($B292,Расценка!$H$3:$K$9,4,FALSE),0)),0),2),"-")</f>
        <v>0</v>
      </c>
      <c r="O292" s="298">
        <f>IFERROR(ROUND(IF('Состав ВТК'!$K285=справочник!$A$5,(IF(AND($A292='Состав ВТК'!$B285,$O$10=$C292),$F292*$D292*VLOOKUP($B292,Расценка!$H$3:$K$9,4,FALSE),0)),0),2),"-")</f>
        <v>0</v>
      </c>
      <c r="P292" s="299">
        <f t="shared" si="41"/>
        <v>0</v>
      </c>
      <c r="Q292" s="300">
        <f t="shared" si="46"/>
        <v>0</v>
      </c>
      <c r="R292" s="300">
        <f t="shared" si="47"/>
        <v>0</v>
      </c>
      <c r="S292" s="295">
        <f t="shared" si="42"/>
        <v>0</v>
      </c>
      <c r="T292" s="298">
        <f>IFERROR(ROUND(IF(AND('Расчет участников НИР'!$A292='Состав ВТК'!$B285,'Расчет участников НИР'!$T$10='Состав ВТК'!$I285),$E292,0),2),"-")</f>
        <v>0</v>
      </c>
      <c r="U292" s="298">
        <f>IFERROR(ROUND(IF(AND('Расчет участников НИР'!$A292='Состав ВТК'!$B285,'Расчет участников НИР'!$U$10='Состав ВТК'!$I285),$E292,0),2),"-")</f>
        <v>0</v>
      </c>
      <c r="V292" s="298">
        <f>IFERROR(ROUND(IF(AND('Расчет участников НИР'!$A292='Состав ВТК'!$B285,'Расчет участников НИР'!$V$10='Состав ВТК'!$I285),$E292,0),2),"-")</f>
        <v>0</v>
      </c>
      <c r="W292" s="301" t="str">
        <f t="shared" si="43"/>
        <v>-</v>
      </c>
      <c r="X292" s="301" t="str">
        <f t="shared" si="44"/>
        <v>-</v>
      </c>
      <c r="Y292" s="301" t="str">
        <f t="shared" si="45"/>
        <v>-</v>
      </c>
    </row>
    <row r="293" spans="1:25" x14ac:dyDescent="0.25">
      <c r="A293" s="217">
        <f>'Состав ВТК'!B286</f>
        <v>0</v>
      </c>
      <c r="B293" s="290">
        <f>IFERROR(VLOOKUP($A293,Распределение!$B$13:$L$113,11,FALSE),"-")</f>
        <v>0</v>
      </c>
      <c r="C293" s="291" t="str">
        <f>IFERROR(IF(VLOOKUP($B293,Расценка!$H$3:$I$9,2,FALSE)="НС",Расценка!$T$11,Расценка!$T$12),"-")</f>
        <v>-</v>
      </c>
      <c r="D293" s="291">
        <f>IFERROR(INDEX(Распределение!$1:$1048576,MATCH($A293,Распределение!$B:$B,0),MATCH($D$8,Распределение!$9:$9,0)),"---")</f>
        <v>0</v>
      </c>
      <c r="E293" s="292">
        <f>IFERROR(SUMIFS('Трудозатраты членов ВТК'!$G$17:$G$117,'Трудозатраты членов ВТК'!$D$17:$D$117,A:A),"-")</f>
        <v>0</v>
      </c>
      <c r="F293" s="293">
        <f>IFERROR(SUMIFS('Трудозатраты членов ВТК'!$F$464:$F$713,'Трудозатраты членов ВТК'!$D$464:$D$713,A:A),"-")</f>
        <v>0</v>
      </c>
      <c r="G293" s="302"/>
      <c r="H293" s="295">
        <f t="shared" si="39"/>
        <v>0</v>
      </c>
      <c r="I293" s="296">
        <f>IFERROR(ROUND(IF('Состав ВТК'!$K286=справочник!$A$5,IF(AND('Расчет участников НИР'!$A293='Состав ВТК'!$B286,$I$10='Состав ВТК'!$I286),$F293*$D293*VLOOKUP('Расчет участников НИР'!$B293,Расценка!$C$3:$E$13,3,FALSE),0),0),2),"-")</f>
        <v>0</v>
      </c>
      <c r="J293" s="296">
        <f>IFERROR(ROUND(IF('Состав ВТК'!$K286=справочник!$A$5,IF(AND('Расчет участников НИР'!$A293='Состав ВТК'!$B286,$J$10='Состав ВТК'!$I286),$F293*$D293*VLOOKUP('Расчет участников НИР'!$B293,Расценка!$C$3:$E$13,3,FALSE),0),0),2),"-")</f>
        <v>0</v>
      </c>
      <c r="K293" s="296">
        <f>IFERROR(ROUND(IF('Состав ВТК'!$K286=справочник!$A$5,IF(AND('Расчет участников НИР'!$A293='Состав ВТК'!$B286,$K$10='Состав ВТК'!$I286),$F293*$D293*VLOOKUP('Расчет участников НИР'!$B293,Расценка!$C$3:$E$13,3,FALSE),0),0),2),"-")</f>
        <v>0</v>
      </c>
      <c r="L293" s="297"/>
      <c r="M293" s="295">
        <f t="shared" si="40"/>
        <v>0</v>
      </c>
      <c r="N293" s="298">
        <f>IFERROR(ROUND(IF('Состав ВТК'!$K286=справочник!$A$5,(IF(AND($A293='Состав ВТК'!$B286,$N$10=$C293),$F293*$D293*VLOOKUP($B293,Расценка!$H$3:$K$9,4,FALSE),0)),0),2),"-")</f>
        <v>0</v>
      </c>
      <c r="O293" s="298">
        <f>IFERROR(ROUND(IF('Состав ВТК'!$K286=справочник!$A$5,(IF(AND($A293='Состав ВТК'!$B286,$O$10=$C293),$F293*$D293*VLOOKUP($B293,Расценка!$H$3:$K$9,4,FALSE),0)),0),2),"-")</f>
        <v>0</v>
      </c>
      <c r="P293" s="299">
        <f t="shared" si="41"/>
        <v>0</v>
      </c>
      <c r="Q293" s="300">
        <f t="shared" si="46"/>
        <v>0</v>
      </c>
      <c r="R293" s="300">
        <f t="shared" si="47"/>
        <v>0</v>
      </c>
      <c r="S293" s="295">
        <f t="shared" si="42"/>
        <v>0</v>
      </c>
      <c r="T293" s="298">
        <f>IFERROR(ROUND(IF(AND('Расчет участников НИР'!$A293='Состав ВТК'!$B286,'Расчет участников НИР'!$T$10='Состав ВТК'!$I286),$E293,0),2),"-")</f>
        <v>0</v>
      </c>
      <c r="U293" s="298">
        <f>IFERROR(ROUND(IF(AND('Расчет участников НИР'!$A293='Состав ВТК'!$B286,'Расчет участников НИР'!$U$10='Состав ВТК'!$I286),$E293,0),2),"-")</f>
        <v>0</v>
      </c>
      <c r="V293" s="298">
        <f>IFERROR(ROUND(IF(AND('Расчет участников НИР'!$A293='Состав ВТК'!$B286,'Расчет участников НИР'!$V$10='Состав ВТК'!$I286),$E293,0),2),"-")</f>
        <v>0</v>
      </c>
      <c r="W293" s="301" t="str">
        <f t="shared" si="43"/>
        <v>-</v>
      </c>
      <c r="X293" s="301" t="str">
        <f t="shared" si="44"/>
        <v>-</v>
      </c>
      <c r="Y293" s="301" t="str">
        <f t="shared" si="45"/>
        <v>-</v>
      </c>
    </row>
    <row r="294" spans="1:25" x14ac:dyDescent="0.25">
      <c r="A294" s="217">
        <f>'Состав ВТК'!B287</f>
        <v>0</v>
      </c>
      <c r="B294" s="290">
        <f>IFERROR(VLOOKUP($A294,Распределение!$B$13:$L$113,11,FALSE),"-")</f>
        <v>0</v>
      </c>
      <c r="C294" s="291" t="str">
        <f>IFERROR(IF(VLOOKUP($B294,Расценка!$H$3:$I$9,2,FALSE)="НС",Расценка!$T$11,Расценка!$T$12),"-")</f>
        <v>-</v>
      </c>
      <c r="D294" s="291">
        <f>IFERROR(INDEX(Распределение!$1:$1048576,MATCH($A294,Распределение!$B:$B,0),MATCH($D$8,Распределение!$9:$9,0)),"---")</f>
        <v>0</v>
      </c>
      <c r="E294" s="292">
        <f>IFERROR(SUMIFS('Трудозатраты членов ВТК'!$G$17:$G$117,'Трудозатраты членов ВТК'!$D$17:$D$117,A:A),"-")</f>
        <v>0</v>
      </c>
      <c r="F294" s="293">
        <f>IFERROR(SUMIFS('Трудозатраты членов ВТК'!$F$464:$F$713,'Трудозатраты членов ВТК'!$D$464:$D$713,A:A),"-")</f>
        <v>0</v>
      </c>
      <c r="G294" s="302"/>
      <c r="H294" s="295">
        <f t="shared" si="39"/>
        <v>0</v>
      </c>
      <c r="I294" s="296">
        <f>IFERROR(ROUND(IF('Состав ВТК'!$K287=справочник!$A$5,IF(AND('Расчет участников НИР'!$A294='Состав ВТК'!$B287,$I$10='Состав ВТК'!$I287),$F294*$D294*VLOOKUP('Расчет участников НИР'!$B294,Расценка!$C$3:$E$13,3,FALSE),0),0),2),"-")</f>
        <v>0</v>
      </c>
      <c r="J294" s="296">
        <f>IFERROR(ROUND(IF('Состав ВТК'!$K287=справочник!$A$5,IF(AND('Расчет участников НИР'!$A294='Состав ВТК'!$B287,$J$10='Состав ВТК'!$I287),$F294*$D294*VLOOKUP('Расчет участников НИР'!$B294,Расценка!$C$3:$E$13,3,FALSE),0),0),2),"-")</f>
        <v>0</v>
      </c>
      <c r="K294" s="296">
        <f>IFERROR(ROUND(IF('Состав ВТК'!$K287=справочник!$A$5,IF(AND('Расчет участников НИР'!$A294='Состав ВТК'!$B287,$K$10='Состав ВТК'!$I287),$F294*$D294*VLOOKUP('Расчет участников НИР'!$B294,Расценка!$C$3:$E$13,3,FALSE),0),0),2),"-")</f>
        <v>0</v>
      </c>
      <c r="L294" s="297"/>
      <c r="M294" s="295">
        <f t="shared" si="40"/>
        <v>0</v>
      </c>
      <c r="N294" s="298">
        <f>IFERROR(ROUND(IF('Состав ВТК'!$K287=справочник!$A$5,(IF(AND($A294='Состав ВТК'!$B287,$N$10=$C294),$F294*$D294*VLOOKUP($B294,Расценка!$H$3:$K$9,4,FALSE),0)),0),2),"-")</f>
        <v>0</v>
      </c>
      <c r="O294" s="298">
        <f>IFERROR(ROUND(IF('Состав ВТК'!$K287=справочник!$A$5,(IF(AND($A294='Состав ВТК'!$B287,$O$10=$C294),$F294*$D294*VLOOKUP($B294,Расценка!$H$3:$K$9,4,FALSE),0)),0),2),"-")</f>
        <v>0</v>
      </c>
      <c r="P294" s="299">
        <f t="shared" si="41"/>
        <v>0</v>
      </c>
      <c r="Q294" s="300">
        <f t="shared" si="46"/>
        <v>0</v>
      </c>
      <c r="R294" s="300">
        <f t="shared" si="47"/>
        <v>0</v>
      </c>
      <c r="S294" s="295">
        <f t="shared" si="42"/>
        <v>0</v>
      </c>
      <c r="T294" s="298">
        <f>IFERROR(ROUND(IF(AND('Расчет участников НИР'!$A294='Состав ВТК'!$B287,'Расчет участников НИР'!$T$10='Состав ВТК'!$I287),$E294,0),2),"-")</f>
        <v>0</v>
      </c>
      <c r="U294" s="298">
        <f>IFERROR(ROUND(IF(AND('Расчет участников НИР'!$A294='Состав ВТК'!$B287,'Расчет участников НИР'!$U$10='Состав ВТК'!$I287),$E294,0),2),"-")</f>
        <v>0</v>
      </c>
      <c r="V294" s="298">
        <f>IFERROR(ROUND(IF(AND('Расчет участников НИР'!$A294='Состав ВТК'!$B287,'Расчет участников НИР'!$V$10='Состав ВТК'!$I287),$E294,0),2),"-")</f>
        <v>0</v>
      </c>
      <c r="W294" s="301" t="str">
        <f t="shared" si="43"/>
        <v>-</v>
      </c>
      <c r="X294" s="301" t="str">
        <f t="shared" si="44"/>
        <v>-</v>
      </c>
      <c r="Y294" s="301" t="str">
        <f t="shared" si="45"/>
        <v>-</v>
      </c>
    </row>
    <row r="295" spans="1:25" x14ac:dyDescent="0.25">
      <c r="A295" s="217">
        <f>'Состав ВТК'!B288</f>
        <v>0</v>
      </c>
      <c r="B295" s="290">
        <f>IFERROR(VLOOKUP($A295,Распределение!$B$13:$L$113,11,FALSE),"-")</f>
        <v>0</v>
      </c>
      <c r="C295" s="291" t="str">
        <f>IFERROR(IF(VLOOKUP($B295,Расценка!$H$3:$I$9,2,FALSE)="НС",Расценка!$T$11,Расценка!$T$12),"-")</f>
        <v>-</v>
      </c>
      <c r="D295" s="291">
        <f>IFERROR(INDEX(Распределение!$1:$1048576,MATCH($A295,Распределение!$B:$B,0),MATCH($D$8,Распределение!$9:$9,0)),"---")</f>
        <v>0</v>
      </c>
      <c r="E295" s="292">
        <f>IFERROR(SUMIFS('Трудозатраты членов ВТК'!$G$17:$G$117,'Трудозатраты членов ВТК'!$D$17:$D$117,A:A),"-")</f>
        <v>0</v>
      </c>
      <c r="F295" s="293">
        <f>IFERROR(SUMIFS('Трудозатраты членов ВТК'!$F$464:$F$713,'Трудозатраты членов ВТК'!$D$464:$D$713,A:A),"-")</f>
        <v>0</v>
      </c>
      <c r="G295" s="302"/>
      <c r="H295" s="295">
        <f t="shared" si="39"/>
        <v>0</v>
      </c>
      <c r="I295" s="296">
        <f>IFERROR(ROUND(IF('Состав ВТК'!$K288=справочник!$A$5,IF(AND('Расчет участников НИР'!$A295='Состав ВТК'!$B288,$I$10='Состав ВТК'!$I288),$F295*$D295*VLOOKUP('Расчет участников НИР'!$B295,Расценка!$C$3:$E$13,3,FALSE),0),0),2),"-")</f>
        <v>0</v>
      </c>
      <c r="J295" s="296">
        <f>IFERROR(ROUND(IF('Состав ВТК'!$K288=справочник!$A$5,IF(AND('Расчет участников НИР'!$A295='Состав ВТК'!$B288,$J$10='Состав ВТК'!$I288),$F295*$D295*VLOOKUP('Расчет участников НИР'!$B295,Расценка!$C$3:$E$13,3,FALSE),0),0),2),"-")</f>
        <v>0</v>
      </c>
      <c r="K295" s="296">
        <f>IFERROR(ROUND(IF('Состав ВТК'!$K288=справочник!$A$5,IF(AND('Расчет участников НИР'!$A295='Состав ВТК'!$B288,$K$10='Состав ВТК'!$I288),$F295*$D295*VLOOKUP('Расчет участников НИР'!$B295,Расценка!$C$3:$E$13,3,FALSE),0),0),2),"-")</f>
        <v>0</v>
      </c>
      <c r="L295" s="297"/>
      <c r="M295" s="295">
        <f t="shared" si="40"/>
        <v>0</v>
      </c>
      <c r="N295" s="298">
        <f>IFERROR(ROUND(IF('Состав ВТК'!$K288=справочник!$A$5,(IF(AND($A295='Состав ВТК'!$B288,$N$10=$C295),$F295*$D295*VLOOKUP($B295,Расценка!$H$3:$K$9,4,FALSE),0)),0),2),"-")</f>
        <v>0</v>
      </c>
      <c r="O295" s="298">
        <f>IFERROR(ROUND(IF('Состав ВТК'!$K288=справочник!$A$5,(IF(AND($A295='Состав ВТК'!$B288,$O$10=$C295),$F295*$D295*VLOOKUP($B295,Расценка!$H$3:$K$9,4,FALSE),0)),0),2),"-")</f>
        <v>0</v>
      </c>
      <c r="P295" s="299">
        <f t="shared" si="41"/>
        <v>0</v>
      </c>
      <c r="Q295" s="300">
        <f t="shared" si="46"/>
        <v>0</v>
      </c>
      <c r="R295" s="300">
        <f t="shared" si="47"/>
        <v>0</v>
      </c>
      <c r="S295" s="295">
        <f t="shared" si="42"/>
        <v>0</v>
      </c>
      <c r="T295" s="298">
        <f>IFERROR(ROUND(IF(AND('Расчет участников НИР'!$A295='Состав ВТК'!$B288,'Расчет участников НИР'!$T$10='Состав ВТК'!$I288),$E295,0),2),"-")</f>
        <v>0</v>
      </c>
      <c r="U295" s="298">
        <f>IFERROR(ROUND(IF(AND('Расчет участников НИР'!$A295='Состав ВТК'!$B288,'Расчет участников НИР'!$U$10='Состав ВТК'!$I288),$E295,0),2),"-")</f>
        <v>0</v>
      </c>
      <c r="V295" s="298">
        <f>IFERROR(ROUND(IF(AND('Расчет участников НИР'!$A295='Состав ВТК'!$B288,'Расчет участников НИР'!$V$10='Состав ВТК'!$I288),$E295,0),2),"-")</f>
        <v>0</v>
      </c>
      <c r="W295" s="301" t="str">
        <f t="shared" si="43"/>
        <v>-</v>
      </c>
      <c r="X295" s="301" t="str">
        <f t="shared" si="44"/>
        <v>-</v>
      </c>
      <c r="Y295" s="301" t="str">
        <f t="shared" si="45"/>
        <v>-</v>
      </c>
    </row>
    <row r="296" spans="1:25" x14ac:dyDescent="0.25">
      <c r="A296" s="217">
        <f>'Состав ВТК'!B289</f>
        <v>0</v>
      </c>
      <c r="B296" s="290">
        <f>IFERROR(VLOOKUP($A296,Распределение!$B$13:$L$113,11,FALSE),"-")</f>
        <v>0</v>
      </c>
      <c r="C296" s="291" t="str">
        <f>IFERROR(IF(VLOOKUP($B296,Расценка!$H$3:$I$9,2,FALSE)="НС",Расценка!$T$11,Расценка!$T$12),"-")</f>
        <v>-</v>
      </c>
      <c r="D296" s="291">
        <f>IFERROR(INDEX(Распределение!$1:$1048576,MATCH($A296,Распределение!$B:$B,0),MATCH($D$8,Распределение!$9:$9,0)),"---")</f>
        <v>0</v>
      </c>
      <c r="E296" s="292">
        <f>IFERROR(SUMIFS('Трудозатраты членов ВТК'!$G$17:$G$117,'Трудозатраты членов ВТК'!$D$17:$D$117,A:A),"-")</f>
        <v>0</v>
      </c>
      <c r="F296" s="293">
        <f>IFERROR(SUMIFS('Трудозатраты членов ВТК'!$F$464:$F$713,'Трудозатраты членов ВТК'!$D$464:$D$713,A:A),"-")</f>
        <v>0</v>
      </c>
      <c r="G296" s="302"/>
      <c r="H296" s="295">
        <f t="shared" si="39"/>
        <v>0</v>
      </c>
      <c r="I296" s="296">
        <f>IFERROR(ROUND(IF('Состав ВТК'!$K289=справочник!$A$5,IF(AND('Расчет участников НИР'!$A296='Состав ВТК'!$B289,$I$10='Состав ВТК'!$I289),$F296*$D296*VLOOKUP('Расчет участников НИР'!$B296,Расценка!$C$3:$E$13,3,FALSE),0),0),2),"-")</f>
        <v>0</v>
      </c>
      <c r="J296" s="296">
        <f>IFERROR(ROUND(IF('Состав ВТК'!$K289=справочник!$A$5,IF(AND('Расчет участников НИР'!$A296='Состав ВТК'!$B289,$J$10='Состав ВТК'!$I289),$F296*$D296*VLOOKUP('Расчет участников НИР'!$B296,Расценка!$C$3:$E$13,3,FALSE),0),0),2),"-")</f>
        <v>0</v>
      </c>
      <c r="K296" s="296">
        <f>IFERROR(ROUND(IF('Состав ВТК'!$K289=справочник!$A$5,IF(AND('Расчет участников НИР'!$A296='Состав ВТК'!$B289,$K$10='Состав ВТК'!$I289),$F296*$D296*VLOOKUP('Расчет участников НИР'!$B296,Расценка!$C$3:$E$13,3,FALSE),0),0),2),"-")</f>
        <v>0</v>
      </c>
      <c r="L296" s="297"/>
      <c r="M296" s="295">
        <f t="shared" si="40"/>
        <v>0</v>
      </c>
      <c r="N296" s="298">
        <f>IFERROR(ROUND(IF('Состав ВТК'!$K289=справочник!$A$5,(IF(AND($A296='Состав ВТК'!$B289,$N$10=$C296),$F296*$D296*VLOOKUP($B296,Расценка!$H$3:$K$9,4,FALSE),0)),0),2),"-")</f>
        <v>0</v>
      </c>
      <c r="O296" s="298">
        <f>IFERROR(ROUND(IF('Состав ВТК'!$K289=справочник!$A$5,(IF(AND($A296='Состав ВТК'!$B289,$O$10=$C296),$F296*$D296*VLOOKUP($B296,Расценка!$H$3:$K$9,4,FALSE),0)),0),2),"-")</f>
        <v>0</v>
      </c>
      <c r="P296" s="299">
        <f t="shared" si="41"/>
        <v>0</v>
      </c>
      <c r="Q296" s="300">
        <f t="shared" si="46"/>
        <v>0</v>
      </c>
      <c r="R296" s="300">
        <f t="shared" si="47"/>
        <v>0</v>
      </c>
      <c r="S296" s="295">
        <f t="shared" si="42"/>
        <v>0</v>
      </c>
      <c r="T296" s="298">
        <f>IFERROR(ROUND(IF(AND('Расчет участников НИР'!$A296='Состав ВТК'!$B289,'Расчет участников НИР'!$T$10='Состав ВТК'!$I289),$E296,0),2),"-")</f>
        <v>0</v>
      </c>
      <c r="U296" s="298">
        <f>IFERROR(ROUND(IF(AND('Расчет участников НИР'!$A296='Состав ВТК'!$B289,'Расчет участников НИР'!$U$10='Состав ВТК'!$I289),$E296,0),2),"-")</f>
        <v>0</v>
      </c>
      <c r="V296" s="298">
        <f>IFERROR(ROUND(IF(AND('Расчет участников НИР'!$A296='Состав ВТК'!$B289,'Расчет участников НИР'!$V$10='Состав ВТК'!$I289),$E296,0),2),"-")</f>
        <v>0</v>
      </c>
      <c r="W296" s="301" t="str">
        <f t="shared" si="43"/>
        <v>-</v>
      </c>
      <c r="X296" s="301" t="str">
        <f t="shared" si="44"/>
        <v>-</v>
      </c>
      <c r="Y296" s="301" t="str">
        <f t="shared" si="45"/>
        <v>-</v>
      </c>
    </row>
    <row r="297" spans="1:25" x14ac:dyDescent="0.25">
      <c r="A297" s="217">
        <f>'Состав ВТК'!B290</f>
        <v>0</v>
      </c>
      <c r="B297" s="290">
        <f>IFERROR(VLOOKUP($A297,Распределение!$B$13:$L$113,11,FALSE),"-")</f>
        <v>0</v>
      </c>
      <c r="C297" s="291" t="str">
        <f>IFERROR(IF(VLOOKUP($B297,Расценка!$H$3:$I$9,2,FALSE)="НС",Расценка!$T$11,Расценка!$T$12),"-")</f>
        <v>-</v>
      </c>
      <c r="D297" s="291">
        <f>IFERROR(INDEX(Распределение!$1:$1048576,MATCH($A297,Распределение!$B:$B,0),MATCH($D$8,Распределение!$9:$9,0)),"---")</f>
        <v>0</v>
      </c>
      <c r="E297" s="292">
        <f>IFERROR(SUMIFS('Трудозатраты членов ВТК'!$G$17:$G$117,'Трудозатраты членов ВТК'!$D$17:$D$117,A:A),"-")</f>
        <v>0</v>
      </c>
      <c r="F297" s="293">
        <f>IFERROR(SUMIFS('Трудозатраты членов ВТК'!$F$464:$F$713,'Трудозатраты членов ВТК'!$D$464:$D$713,A:A),"-")</f>
        <v>0</v>
      </c>
      <c r="G297" s="302"/>
      <c r="H297" s="295">
        <f t="shared" si="39"/>
        <v>0</v>
      </c>
      <c r="I297" s="296">
        <f>IFERROR(ROUND(IF('Состав ВТК'!$K290=справочник!$A$5,IF(AND('Расчет участников НИР'!$A297='Состав ВТК'!$B290,$I$10='Состав ВТК'!$I290),$F297*$D297*VLOOKUP('Расчет участников НИР'!$B297,Расценка!$C$3:$E$13,3,FALSE),0),0),2),"-")</f>
        <v>0</v>
      </c>
      <c r="J297" s="296">
        <f>IFERROR(ROUND(IF('Состав ВТК'!$K290=справочник!$A$5,IF(AND('Расчет участников НИР'!$A297='Состав ВТК'!$B290,$J$10='Состав ВТК'!$I290),$F297*$D297*VLOOKUP('Расчет участников НИР'!$B297,Расценка!$C$3:$E$13,3,FALSE),0),0),2),"-")</f>
        <v>0</v>
      </c>
      <c r="K297" s="296">
        <f>IFERROR(ROUND(IF('Состав ВТК'!$K290=справочник!$A$5,IF(AND('Расчет участников НИР'!$A297='Состав ВТК'!$B290,$K$10='Состав ВТК'!$I290),$F297*$D297*VLOOKUP('Расчет участников НИР'!$B297,Расценка!$C$3:$E$13,3,FALSE),0),0),2),"-")</f>
        <v>0</v>
      </c>
      <c r="L297" s="297"/>
      <c r="M297" s="295">
        <f t="shared" si="40"/>
        <v>0</v>
      </c>
      <c r="N297" s="298">
        <f>IFERROR(ROUND(IF('Состав ВТК'!$K290=справочник!$A$5,(IF(AND($A297='Состав ВТК'!$B290,$N$10=$C297),$F297*$D297*VLOOKUP($B297,Расценка!$H$3:$K$9,4,FALSE),0)),0),2),"-")</f>
        <v>0</v>
      </c>
      <c r="O297" s="298">
        <f>IFERROR(ROUND(IF('Состав ВТК'!$K290=справочник!$A$5,(IF(AND($A297='Состав ВТК'!$B290,$O$10=$C297),$F297*$D297*VLOOKUP($B297,Расценка!$H$3:$K$9,4,FALSE),0)),0),2),"-")</f>
        <v>0</v>
      </c>
      <c r="P297" s="299">
        <f t="shared" si="41"/>
        <v>0</v>
      </c>
      <c r="Q297" s="300">
        <f t="shared" si="46"/>
        <v>0</v>
      </c>
      <c r="R297" s="300">
        <f t="shared" si="47"/>
        <v>0</v>
      </c>
      <c r="S297" s="295">
        <f t="shared" si="42"/>
        <v>0</v>
      </c>
      <c r="T297" s="298">
        <f>IFERROR(ROUND(IF(AND('Расчет участников НИР'!$A297='Состав ВТК'!$B290,'Расчет участников НИР'!$T$10='Состав ВТК'!$I290),$E297,0),2),"-")</f>
        <v>0</v>
      </c>
      <c r="U297" s="298">
        <f>IFERROR(ROUND(IF(AND('Расчет участников НИР'!$A297='Состав ВТК'!$B290,'Расчет участников НИР'!$U$10='Состав ВТК'!$I290),$E297,0),2),"-")</f>
        <v>0</v>
      </c>
      <c r="V297" s="298">
        <f>IFERROR(ROUND(IF(AND('Расчет участников НИР'!$A297='Состав ВТК'!$B290,'Расчет участников НИР'!$V$10='Состав ВТК'!$I290),$E297,0),2),"-")</f>
        <v>0</v>
      </c>
      <c r="W297" s="301" t="str">
        <f t="shared" si="43"/>
        <v>-</v>
      </c>
      <c r="X297" s="301" t="str">
        <f t="shared" si="44"/>
        <v>-</v>
      </c>
      <c r="Y297" s="301" t="str">
        <f t="shared" si="45"/>
        <v>-</v>
      </c>
    </row>
    <row r="298" spans="1:25" x14ac:dyDescent="0.25">
      <c r="A298" s="217">
        <f>'Состав ВТК'!B291</f>
        <v>0</v>
      </c>
      <c r="B298" s="290">
        <f>IFERROR(VLOOKUP($A298,Распределение!$B$13:$L$113,11,FALSE),"-")</f>
        <v>0</v>
      </c>
      <c r="C298" s="291" t="str">
        <f>IFERROR(IF(VLOOKUP($B298,Расценка!$H$3:$I$9,2,FALSE)="НС",Расценка!$T$11,Расценка!$T$12),"-")</f>
        <v>-</v>
      </c>
      <c r="D298" s="291">
        <f>IFERROR(INDEX(Распределение!$1:$1048576,MATCH($A298,Распределение!$B:$B,0),MATCH($D$8,Распределение!$9:$9,0)),"---")</f>
        <v>0</v>
      </c>
      <c r="E298" s="292">
        <f>IFERROR(SUMIFS('Трудозатраты членов ВТК'!$G$17:$G$117,'Трудозатраты членов ВТК'!$D$17:$D$117,A:A),"-")</f>
        <v>0</v>
      </c>
      <c r="F298" s="293">
        <f>IFERROR(SUMIFS('Трудозатраты членов ВТК'!$F$464:$F$713,'Трудозатраты членов ВТК'!$D$464:$D$713,A:A),"-")</f>
        <v>0</v>
      </c>
      <c r="G298" s="302"/>
      <c r="H298" s="295">
        <f t="shared" si="39"/>
        <v>0</v>
      </c>
      <c r="I298" s="296">
        <f>IFERROR(ROUND(IF('Состав ВТК'!$K291=справочник!$A$5,IF(AND('Расчет участников НИР'!$A298='Состав ВТК'!$B291,$I$10='Состав ВТК'!$I291),$F298*$D298*VLOOKUP('Расчет участников НИР'!$B298,Расценка!$C$3:$E$13,3,FALSE),0),0),2),"-")</f>
        <v>0</v>
      </c>
      <c r="J298" s="296">
        <f>IFERROR(ROUND(IF('Состав ВТК'!$K291=справочник!$A$5,IF(AND('Расчет участников НИР'!$A298='Состав ВТК'!$B291,$J$10='Состав ВТК'!$I291),$F298*$D298*VLOOKUP('Расчет участников НИР'!$B298,Расценка!$C$3:$E$13,3,FALSE),0),0),2),"-")</f>
        <v>0</v>
      </c>
      <c r="K298" s="296">
        <f>IFERROR(ROUND(IF('Состав ВТК'!$K291=справочник!$A$5,IF(AND('Расчет участников НИР'!$A298='Состав ВТК'!$B291,$K$10='Состав ВТК'!$I291),$F298*$D298*VLOOKUP('Расчет участников НИР'!$B298,Расценка!$C$3:$E$13,3,FALSE),0),0),2),"-")</f>
        <v>0</v>
      </c>
      <c r="L298" s="297"/>
      <c r="M298" s="295">
        <f t="shared" si="40"/>
        <v>0</v>
      </c>
      <c r="N298" s="298">
        <f>IFERROR(ROUND(IF('Состав ВТК'!$K291=справочник!$A$5,(IF(AND($A298='Состав ВТК'!$B291,$N$10=$C298),$F298*$D298*VLOOKUP($B298,Расценка!$H$3:$K$9,4,FALSE),0)),0),2),"-")</f>
        <v>0</v>
      </c>
      <c r="O298" s="298">
        <f>IFERROR(ROUND(IF('Состав ВТК'!$K291=справочник!$A$5,(IF(AND($A298='Состав ВТК'!$B291,$O$10=$C298),$F298*$D298*VLOOKUP($B298,Расценка!$H$3:$K$9,4,FALSE),0)),0),2),"-")</f>
        <v>0</v>
      </c>
      <c r="P298" s="299">
        <f t="shared" si="41"/>
        <v>0</v>
      </c>
      <c r="Q298" s="300">
        <f t="shared" si="46"/>
        <v>0</v>
      </c>
      <c r="R298" s="300">
        <f t="shared" si="47"/>
        <v>0</v>
      </c>
      <c r="S298" s="295">
        <f t="shared" si="42"/>
        <v>0</v>
      </c>
      <c r="T298" s="298">
        <f>IFERROR(ROUND(IF(AND('Расчет участников НИР'!$A298='Состав ВТК'!$B291,'Расчет участников НИР'!$T$10='Состав ВТК'!$I291),$E298,0),2),"-")</f>
        <v>0</v>
      </c>
      <c r="U298" s="298">
        <f>IFERROR(ROUND(IF(AND('Расчет участников НИР'!$A298='Состав ВТК'!$B291,'Расчет участников НИР'!$U$10='Состав ВТК'!$I291),$E298,0),2),"-")</f>
        <v>0</v>
      </c>
      <c r="V298" s="298">
        <f>IFERROR(ROUND(IF(AND('Расчет участников НИР'!$A298='Состав ВТК'!$B291,'Расчет участников НИР'!$V$10='Состав ВТК'!$I291),$E298,0),2),"-")</f>
        <v>0</v>
      </c>
      <c r="W298" s="301" t="str">
        <f t="shared" si="43"/>
        <v>-</v>
      </c>
      <c r="X298" s="301" t="str">
        <f t="shared" si="44"/>
        <v>-</v>
      </c>
      <c r="Y298" s="301" t="str">
        <f t="shared" si="45"/>
        <v>-</v>
      </c>
    </row>
    <row r="299" spans="1:25" x14ac:dyDescent="0.25">
      <c r="A299" s="217">
        <f>'Состав ВТК'!B292</f>
        <v>0</v>
      </c>
      <c r="B299" s="290">
        <f>IFERROR(VLOOKUP($A299,Распределение!$B$13:$L$113,11,FALSE),"-")</f>
        <v>0</v>
      </c>
      <c r="C299" s="291" t="str">
        <f>IFERROR(IF(VLOOKUP($B299,Расценка!$H$3:$I$9,2,FALSE)="НС",Расценка!$T$11,Расценка!$T$12),"-")</f>
        <v>-</v>
      </c>
      <c r="D299" s="291">
        <f>IFERROR(INDEX(Распределение!$1:$1048576,MATCH($A299,Распределение!$B:$B,0),MATCH($D$8,Распределение!$9:$9,0)),"---")</f>
        <v>0</v>
      </c>
      <c r="E299" s="292">
        <f>IFERROR(SUMIFS('Трудозатраты членов ВТК'!$G$17:$G$117,'Трудозатраты членов ВТК'!$D$17:$D$117,A:A),"-")</f>
        <v>0</v>
      </c>
      <c r="F299" s="293">
        <f>IFERROR(SUMIFS('Трудозатраты членов ВТК'!$F$464:$F$713,'Трудозатраты членов ВТК'!$D$464:$D$713,A:A),"-")</f>
        <v>0</v>
      </c>
      <c r="G299" s="302"/>
      <c r="H299" s="295">
        <f t="shared" si="39"/>
        <v>0</v>
      </c>
      <c r="I299" s="296">
        <f>IFERROR(ROUND(IF('Состав ВТК'!$K292=справочник!$A$5,IF(AND('Расчет участников НИР'!$A299='Состав ВТК'!$B292,$I$10='Состав ВТК'!$I292),$F299*$D299*VLOOKUP('Расчет участников НИР'!$B299,Расценка!$C$3:$E$13,3,FALSE),0),0),2),"-")</f>
        <v>0</v>
      </c>
      <c r="J299" s="296">
        <f>IFERROR(ROUND(IF('Состав ВТК'!$K292=справочник!$A$5,IF(AND('Расчет участников НИР'!$A299='Состав ВТК'!$B292,$J$10='Состав ВТК'!$I292),$F299*$D299*VLOOKUP('Расчет участников НИР'!$B299,Расценка!$C$3:$E$13,3,FALSE),0),0),2),"-")</f>
        <v>0</v>
      </c>
      <c r="K299" s="296">
        <f>IFERROR(ROUND(IF('Состав ВТК'!$K292=справочник!$A$5,IF(AND('Расчет участников НИР'!$A299='Состав ВТК'!$B292,$K$10='Состав ВТК'!$I292),$F299*$D299*VLOOKUP('Расчет участников НИР'!$B299,Расценка!$C$3:$E$13,3,FALSE),0),0),2),"-")</f>
        <v>0</v>
      </c>
      <c r="L299" s="297"/>
      <c r="M299" s="295">
        <f t="shared" si="40"/>
        <v>0</v>
      </c>
      <c r="N299" s="298">
        <f>IFERROR(ROUND(IF('Состав ВТК'!$K292=справочник!$A$5,(IF(AND($A299='Состав ВТК'!$B292,$N$10=$C299),$F299*$D299*VLOOKUP($B299,Расценка!$H$3:$K$9,4,FALSE),0)),0),2),"-")</f>
        <v>0</v>
      </c>
      <c r="O299" s="298">
        <f>IFERROR(ROUND(IF('Состав ВТК'!$K292=справочник!$A$5,(IF(AND($A299='Состав ВТК'!$B292,$O$10=$C299),$F299*$D299*VLOOKUP($B299,Расценка!$H$3:$K$9,4,FALSE),0)),0),2),"-")</f>
        <v>0</v>
      </c>
      <c r="P299" s="299">
        <f t="shared" si="41"/>
        <v>0</v>
      </c>
      <c r="Q299" s="300">
        <f t="shared" si="46"/>
        <v>0</v>
      </c>
      <c r="R299" s="300">
        <f t="shared" si="47"/>
        <v>0</v>
      </c>
      <c r="S299" s="295">
        <f t="shared" si="42"/>
        <v>0</v>
      </c>
      <c r="T299" s="298">
        <f>IFERROR(ROUND(IF(AND('Расчет участников НИР'!$A299='Состав ВТК'!$B292,'Расчет участников НИР'!$T$10='Состав ВТК'!$I292),$E299,0),2),"-")</f>
        <v>0</v>
      </c>
      <c r="U299" s="298">
        <f>IFERROR(ROUND(IF(AND('Расчет участников НИР'!$A299='Состав ВТК'!$B292,'Расчет участников НИР'!$U$10='Состав ВТК'!$I292),$E299,0),2),"-")</f>
        <v>0</v>
      </c>
      <c r="V299" s="298">
        <f>IFERROR(ROUND(IF(AND('Расчет участников НИР'!$A299='Состав ВТК'!$B292,'Расчет участников НИР'!$V$10='Состав ВТК'!$I292),$E299,0),2),"-")</f>
        <v>0</v>
      </c>
      <c r="W299" s="301" t="str">
        <f t="shared" si="43"/>
        <v>-</v>
      </c>
      <c r="X299" s="301" t="str">
        <f t="shared" si="44"/>
        <v>-</v>
      </c>
      <c r="Y299" s="301" t="str">
        <f t="shared" si="45"/>
        <v>-</v>
      </c>
    </row>
    <row r="300" spans="1:25" x14ac:dyDescent="0.25">
      <c r="A300" s="217">
        <f>'Состав ВТК'!B293</f>
        <v>0</v>
      </c>
      <c r="B300" s="290">
        <f>IFERROR(VLOOKUP($A300,Распределение!$B$13:$L$113,11,FALSE),"-")</f>
        <v>0</v>
      </c>
      <c r="C300" s="291" t="str">
        <f>IFERROR(IF(VLOOKUP($B300,Расценка!$H$3:$I$9,2,FALSE)="НС",Расценка!$T$11,Расценка!$T$12),"-")</f>
        <v>-</v>
      </c>
      <c r="D300" s="291">
        <f>IFERROR(INDEX(Распределение!$1:$1048576,MATCH($A300,Распределение!$B:$B,0),MATCH($D$8,Распределение!$9:$9,0)),"---")</f>
        <v>0</v>
      </c>
      <c r="E300" s="292">
        <f>IFERROR(SUMIFS('Трудозатраты членов ВТК'!$G$17:$G$117,'Трудозатраты членов ВТК'!$D$17:$D$117,A:A),"-")</f>
        <v>0</v>
      </c>
      <c r="F300" s="293">
        <f>IFERROR(SUMIFS('Трудозатраты членов ВТК'!$F$464:$F$713,'Трудозатраты членов ВТК'!$D$464:$D$713,A:A),"-")</f>
        <v>0</v>
      </c>
      <c r="G300" s="302"/>
      <c r="H300" s="295">
        <f t="shared" si="39"/>
        <v>0</v>
      </c>
      <c r="I300" s="296">
        <f>IFERROR(ROUND(IF('Состав ВТК'!$K293=справочник!$A$5,IF(AND('Расчет участников НИР'!$A300='Состав ВТК'!$B293,$I$10='Состав ВТК'!$I293),$F300*$D300*VLOOKUP('Расчет участников НИР'!$B300,Расценка!$C$3:$E$13,3,FALSE),0),0),2),"-")</f>
        <v>0</v>
      </c>
      <c r="J300" s="296">
        <f>IFERROR(ROUND(IF('Состав ВТК'!$K293=справочник!$A$5,IF(AND('Расчет участников НИР'!$A300='Состав ВТК'!$B293,$J$10='Состав ВТК'!$I293),$F300*$D300*VLOOKUP('Расчет участников НИР'!$B300,Расценка!$C$3:$E$13,3,FALSE),0),0),2),"-")</f>
        <v>0</v>
      </c>
      <c r="K300" s="296">
        <f>IFERROR(ROUND(IF('Состав ВТК'!$K293=справочник!$A$5,IF(AND('Расчет участников НИР'!$A300='Состав ВТК'!$B293,$K$10='Состав ВТК'!$I293),$F300*$D300*VLOOKUP('Расчет участников НИР'!$B300,Расценка!$C$3:$E$13,3,FALSE),0),0),2),"-")</f>
        <v>0</v>
      </c>
      <c r="L300" s="297"/>
      <c r="M300" s="295">
        <f t="shared" si="40"/>
        <v>0</v>
      </c>
      <c r="N300" s="298">
        <f>IFERROR(ROUND(IF('Состав ВТК'!$K293=справочник!$A$5,(IF(AND($A300='Состав ВТК'!$B293,$N$10=$C300),$F300*$D300*VLOOKUP($B300,Расценка!$H$3:$K$9,4,FALSE),0)),0),2),"-")</f>
        <v>0</v>
      </c>
      <c r="O300" s="298">
        <f>IFERROR(ROUND(IF('Состав ВТК'!$K293=справочник!$A$5,(IF(AND($A300='Состав ВТК'!$B293,$O$10=$C300),$F300*$D300*VLOOKUP($B300,Расценка!$H$3:$K$9,4,FALSE),0)),0),2),"-")</f>
        <v>0</v>
      </c>
      <c r="P300" s="299">
        <f t="shared" si="41"/>
        <v>0</v>
      </c>
      <c r="Q300" s="300">
        <f t="shared" si="46"/>
        <v>0</v>
      </c>
      <c r="R300" s="300">
        <f t="shared" si="47"/>
        <v>0</v>
      </c>
      <c r="S300" s="295">
        <f t="shared" si="42"/>
        <v>0</v>
      </c>
      <c r="T300" s="298">
        <f>IFERROR(ROUND(IF(AND('Расчет участников НИР'!$A300='Состав ВТК'!$B293,'Расчет участников НИР'!$T$10='Состав ВТК'!$I293),$E300,0),2),"-")</f>
        <v>0</v>
      </c>
      <c r="U300" s="298">
        <f>IFERROR(ROUND(IF(AND('Расчет участников НИР'!$A300='Состав ВТК'!$B293,'Расчет участников НИР'!$U$10='Состав ВТК'!$I293),$E300,0),2),"-")</f>
        <v>0</v>
      </c>
      <c r="V300" s="298">
        <f>IFERROR(ROUND(IF(AND('Расчет участников НИР'!$A300='Состав ВТК'!$B293,'Расчет участников НИР'!$V$10='Состав ВТК'!$I293),$E300,0),2),"-")</f>
        <v>0</v>
      </c>
      <c r="W300" s="301" t="str">
        <f t="shared" si="43"/>
        <v>-</v>
      </c>
      <c r="X300" s="301" t="str">
        <f t="shared" si="44"/>
        <v>-</v>
      </c>
      <c r="Y300" s="301" t="str">
        <f t="shared" si="45"/>
        <v>-</v>
      </c>
    </row>
    <row r="301" spans="1:25" x14ac:dyDescent="0.25">
      <c r="A301" s="217">
        <f>'Состав ВТК'!B294</f>
        <v>0</v>
      </c>
      <c r="B301" s="290">
        <f>IFERROR(VLOOKUP($A301,Распределение!$B$13:$L$113,11,FALSE),"-")</f>
        <v>0</v>
      </c>
      <c r="C301" s="291" t="str">
        <f>IFERROR(IF(VLOOKUP($B301,Расценка!$H$3:$I$9,2,FALSE)="НС",Расценка!$T$11,Расценка!$T$12),"-")</f>
        <v>-</v>
      </c>
      <c r="D301" s="291">
        <f>IFERROR(INDEX(Распределение!$1:$1048576,MATCH($A301,Распределение!$B:$B,0),MATCH($D$8,Распределение!$9:$9,0)),"---")</f>
        <v>0</v>
      </c>
      <c r="E301" s="292">
        <f>IFERROR(SUMIFS('Трудозатраты членов ВТК'!$G$17:$G$117,'Трудозатраты членов ВТК'!$D$17:$D$117,A:A),"-")</f>
        <v>0</v>
      </c>
      <c r="F301" s="293">
        <f>IFERROR(SUMIFS('Трудозатраты членов ВТК'!$F$464:$F$713,'Трудозатраты членов ВТК'!$D$464:$D$713,A:A),"-")</f>
        <v>0</v>
      </c>
      <c r="G301" s="302"/>
      <c r="H301" s="295">
        <f t="shared" si="39"/>
        <v>0</v>
      </c>
      <c r="I301" s="296">
        <f>IFERROR(ROUND(IF('Состав ВТК'!$K294=справочник!$A$5,IF(AND('Расчет участников НИР'!$A301='Состав ВТК'!$B294,$I$10='Состав ВТК'!$I294),$F301*$D301*VLOOKUP('Расчет участников НИР'!$B301,Расценка!$C$3:$E$13,3,FALSE),0),0),2),"-")</f>
        <v>0</v>
      </c>
      <c r="J301" s="296">
        <f>IFERROR(ROUND(IF('Состав ВТК'!$K294=справочник!$A$5,IF(AND('Расчет участников НИР'!$A301='Состав ВТК'!$B294,$J$10='Состав ВТК'!$I294),$F301*$D301*VLOOKUP('Расчет участников НИР'!$B301,Расценка!$C$3:$E$13,3,FALSE),0),0),2),"-")</f>
        <v>0</v>
      </c>
      <c r="K301" s="296">
        <f>IFERROR(ROUND(IF('Состав ВТК'!$K294=справочник!$A$5,IF(AND('Расчет участников НИР'!$A301='Состав ВТК'!$B294,$K$10='Состав ВТК'!$I294),$F301*$D301*VLOOKUP('Расчет участников НИР'!$B301,Расценка!$C$3:$E$13,3,FALSE),0),0),2),"-")</f>
        <v>0</v>
      </c>
      <c r="L301" s="297"/>
      <c r="M301" s="295">
        <f t="shared" si="40"/>
        <v>0</v>
      </c>
      <c r="N301" s="298">
        <f>IFERROR(ROUND(IF('Состав ВТК'!$K294=справочник!$A$5,(IF(AND($A301='Состав ВТК'!$B294,$N$10=$C301),$F301*$D301*VLOOKUP($B301,Расценка!$H$3:$K$9,4,FALSE),0)),0),2),"-")</f>
        <v>0</v>
      </c>
      <c r="O301" s="298">
        <f>IFERROR(ROUND(IF('Состав ВТК'!$K294=справочник!$A$5,(IF(AND($A301='Состав ВТК'!$B294,$O$10=$C301),$F301*$D301*VLOOKUP($B301,Расценка!$H$3:$K$9,4,FALSE),0)),0),2),"-")</f>
        <v>0</v>
      </c>
      <c r="P301" s="299">
        <f t="shared" si="41"/>
        <v>0</v>
      </c>
      <c r="Q301" s="300">
        <f t="shared" si="46"/>
        <v>0</v>
      </c>
      <c r="R301" s="300">
        <f t="shared" si="47"/>
        <v>0</v>
      </c>
      <c r="S301" s="295">
        <f t="shared" si="42"/>
        <v>0</v>
      </c>
      <c r="T301" s="298">
        <f>IFERROR(ROUND(IF(AND('Расчет участников НИР'!$A301='Состав ВТК'!$B294,'Расчет участников НИР'!$T$10='Состав ВТК'!$I294),$E301,0),2),"-")</f>
        <v>0</v>
      </c>
      <c r="U301" s="298">
        <f>IFERROR(ROUND(IF(AND('Расчет участников НИР'!$A301='Состав ВТК'!$B294,'Расчет участников НИР'!$U$10='Состав ВТК'!$I294),$E301,0),2),"-")</f>
        <v>0</v>
      </c>
      <c r="V301" s="298">
        <f>IFERROR(ROUND(IF(AND('Расчет участников НИР'!$A301='Состав ВТК'!$B294,'Расчет участников НИР'!$V$10='Состав ВТК'!$I294),$E301,0),2),"-")</f>
        <v>0</v>
      </c>
      <c r="W301" s="301" t="str">
        <f t="shared" si="43"/>
        <v>-</v>
      </c>
      <c r="X301" s="301" t="str">
        <f t="shared" si="44"/>
        <v>-</v>
      </c>
      <c r="Y301" s="301" t="str">
        <f t="shared" si="45"/>
        <v>-</v>
      </c>
    </row>
    <row r="302" spans="1:25" x14ac:dyDescent="0.25">
      <c r="A302" s="217">
        <f>'Состав ВТК'!B295</f>
        <v>0</v>
      </c>
      <c r="B302" s="290">
        <f>IFERROR(VLOOKUP($A302,Распределение!$B$13:$L$113,11,FALSE),"-")</f>
        <v>0</v>
      </c>
      <c r="C302" s="291" t="str">
        <f>IFERROR(IF(VLOOKUP($B302,Расценка!$H$3:$I$9,2,FALSE)="НС",Расценка!$T$11,Расценка!$T$12),"-")</f>
        <v>-</v>
      </c>
      <c r="D302" s="291">
        <f>IFERROR(INDEX(Распределение!$1:$1048576,MATCH($A302,Распределение!$B:$B,0),MATCH($D$8,Распределение!$9:$9,0)),"---")</f>
        <v>0</v>
      </c>
      <c r="E302" s="292">
        <f>IFERROR(SUMIFS('Трудозатраты членов ВТК'!$G$17:$G$117,'Трудозатраты членов ВТК'!$D$17:$D$117,A:A),"-")</f>
        <v>0</v>
      </c>
      <c r="F302" s="293">
        <f>IFERROR(SUMIFS('Трудозатраты членов ВТК'!$F$464:$F$713,'Трудозатраты членов ВТК'!$D$464:$D$713,A:A),"-")</f>
        <v>0</v>
      </c>
      <c r="G302" s="302"/>
      <c r="H302" s="295">
        <f t="shared" si="39"/>
        <v>0</v>
      </c>
      <c r="I302" s="296">
        <f>IFERROR(ROUND(IF('Состав ВТК'!$K295=справочник!$A$5,IF(AND('Расчет участников НИР'!$A302='Состав ВТК'!$B295,$I$10='Состав ВТК'!$I295),$F302*$D302*VLOOKUP('Расчет участников НИР'!$B302,Расценка!$C$3:$E$13,3,FALSE),0),0),2),"-")</f>
        <v>0</v>
      </c>
      <c r="J302" s="296">
        <f>IFERROR(ROUND(IF('Состав ВТК'!$K295=справочник!$A$5,IF(AND('Расчет участников НИР'!$A302='Состав ВТК'!$B295,$J$10='Состав ВТК'!$I295),$F302*$D302*VLOOKUP('Расчет участников НИР'!$B302,Расценка!$C$3:$E$13,3,FALSE),0),0),2),"-")</f>
        <v>0</v>
      </c>
      <c r="K302" s="296">
        <f>IFERROR(ROUND(IF('Состав ВТК'!$K295=справочник!$A$5,IF(AND('Расчет участников НИР'!$A302='Состав ВТК'!$B295,$K$10='Состав ВТК'!$I295),$F302*$D302*VLOOKUP('Расчет участников НИР'!$B302,Расценка!$C$3:$E$13,3,FALSE),0),0),2),"-")</f>
        <v>0</v>
      </c>
      <c r="L302" s="297"/>
      <c r="M302" s="295">
        <f t="shared" si="40"/>
        <v>0</v>
      </c>
      <c r="N302" s="298">
        <f>IFERROR(ROUND(IF('Состав ВТК'!$K295=справочник!$A$5,(IF(AND($A302='Состав ВТК'!$B295,$N$10=$C302),$F302*$D302*VLOOKUP($B302,Расценка!$H$3:$K$9,4,FALSE),0)),0),2),"-")</f>
        <v>0</v>
      </c>
      <c r="O302" s="298">
        <f>IFERROR(ROUND(IF('Состав ВТК'!$K295=справочник!$A$5,(IF(AND($A302='Состав ВТК'!$B295,$O$10=$C302),$F302*$D302*VLOOKUP($B302,Расценка!$H$3:$K$9,4,FALSE),0)),0),2),"-")</f>
        <v>0</v>
      </c>
      <c r="P302" s="299">
        <f t="shared" si="41"/>
        <v>0</v>
      </c>
      <c r="Q302" s="300">
        <f t="shared" si="46"/>
        <v>0</v>
      </c>
      <c r="R302" s="300">
        <f t="shared" si="47"/>
        <v>0</v>
      </c>
      <c r="S302" s="295">
        <f t="shared" si="42"/>
        <v>0</v>
      </c>
      <c r="T302" s="298">
        <f>IFERROR(ROUND(IF(AND('Расчет участников НИР'!$A302='Состав ВТК'!$B295,'Расчет участников НИР'!$T$10='Состав ВТК'!$I295),$E302,0),2),"-")</f>
        <v>0</v>
      </c>
      <c r="U302" s="298">
        <f>IFERROR(ROUND(IF(AND('Расчет участников НИР'!$A302='Состав ВТК'!$B295,'Расчет участников НИР'!$U$10='Состав ВТК'!$I295),$E302,0),2),"-")</f>
        <v>0</v>
      </c>
      <c r="V302" s="298">
        <f>IFERROR(ROUND(IF(AND('Расчет участников НИР'!$A302='Состав ВТК'!$B295,'Расчет участников НИР'!$V$10='Состав ВТК'!$I295),$E302,0),2),"-")</f>
        <v>0</v>
      </c>
      <c r="W302" s="301" t="str">
        <f t="shared" si="43"/>
        <v>-</v>
      </c>
      <c r="X302" s="301" t="str">
        <f t="shared" si="44"/>
        <v>-</v>
      </c>
      <c r="Y302" s="301" t="str">
        <f t="shared" si="45"/>
        <v>-</v>
      </c>
    </row>
    <row r="303" spans="1:25" x14ac:dyDescent="0.25">
      <c r="A303" s="217">
        <f>'Состав ВТК'!B296</f>
        <v>0</v>
      </c>
      <c r="B303" s="290">
        <f>IFERROR(VLOOKUP($A303,Распределение!$B$13:$L$113,11,FALSE),"-")</f>
        <v>0</v>
      </c>
      <c r="C303" s="291" t="str">
        <f>IFERROR(IF(VLOOKUP($B303,Расценка!$H$3:$I$9,2,FALSE)="НС",Расценка!$T$11,Расценка!$T$12),"-")</f>
        <v>-</v>
      </c>
      <c r="D303" s="291">
        <f>IFERROR(INDEX(Распределение!$1:$1048576,MATCH($A303,Распределение!$B:$B,0),MATCH($D$8,Распределение!$9:$9,0)),"---")</f>
        <v>0</v>
      </c>
      <c r="E303" s="292">
        <f>IFERROR(SUMIFS('Трудозатраты членов ВТК'!$G$17:$G$117,'Трудозатраты членов ВТК'!$D$17:$D$117,A:A),"-")</f>
        <v>0</v>
      </c>
      <c r="F303" s="293">
        <f>IFERROR(SUMIFS('Трудозатраты членов ВТК'!$F$464:$F$713,'Трудозатраты членов ВТК'!$D$464:$D$713,A:A),"-")</f>
        <v>0</v>
      </c>
      <c r="G303" s="302"/>
      <c r="H303" s="295">
        <f t="shared" ref="H303:H356" si="48">SUM(I303:K303)</f>
        <v>0</v>
      </c>
      <c r="I303" s="296">
        <f>IFERROR(ROUND(IF('Состав ВТК'!$K296=справочник!$A$5,IF(AND('Расчет участников НИР'!$A303='Состав ВТК'!$B296,$I$10='Состав ВТК'!$I296),$F303*$D303*VLOOKUP('Расчет участников НИР'!$B303,Расценка!$C$3:$E$13,3,FALSE),0),0),2),"-")</f>
        <v>0</v>
      </c>
      <c r="J303" s="296">
        <f>IFERROR(ROUND(IF('Состав ВТК'!$K296=справочник!$A$5,IF(AND('Расчет участников НИР'!$A303='Состав ВТК'!$B296,$J$10='Состав ВТК'!$I296),$F303*$D303*VLOOKUP('Расчет участников НИР'!$B303,Расценка!$C$3:$E$13,3,FALSE),0),0),2),"-")</f>
        <v>0</v>
      </c>
      <c r="K303" s="296">
        <f>IFERROR(ROUND(IF('Состав ВТК'!$K296=справочник!$A$5,IF(AND('Расчет участников НИР'!$A303='Состав ВТК'!$B296,$K$10='Состав ВТК'!$I296),$F303*$D303*VLOOKUP('Расчет участников НИР'!$B303,Расценка!$C$3:$E$13,3,FALSE),0),0),2),"-")</f>
        <v>0</v>
      </c>
      <c r="L303" s="297"/>
      <c r="M303" s="295">
        <f t="shared" ref="M303:M356" si="49">SUM(N303:O303)</f>
        <v>0</v>
      </c>
      <c r="N303" s="298">
        <f>IFERROR(ROUND(IF('Состав ВТК'!$K296=справочник!$A$5,(IF(AND($A303='Состав ВТК'!$B296,$N$10=$C303),$F303*$D303*VLOOKUP($B303,Расценка!$H$3:$K$9,4,FALSE),0)),0),2),"-")</f>
        <v>0</v>
      </c>
      <c r="O303" s="298">
        <f>IFERROR(ROUND(IF('Состав ВТК'!$K296=справочник!$A$5,(IF(AND($A303='Состав ВТК'!$B296,$O$10=$C303),$F303*$D303*VLOOKUP($B303,Расценка!$H$3:$K$9,4,FALSE),0)),0),2),"-")</f>
        <v>0</v>
      </c>
      <c r="P303" s="299">
        <f t="shared" ref="P303:P356" si="50">H303-M303</f>
        <v>0</v>
      </c>
      <c r="Q303" s="300">
        <f t="shared" si="46"/>
        <v>0</v>
      </c>
      <c r="R303" s="300">
        <f t="shared" si="47"/>
        <v>0</v>
      </c>
      <c r="S303" s="295">
        <f t="shared" ref="S303:S356" si="51">SUM(T303:V303)</f>
        <v>0</v>
      </c>
      <c r="T303" s="298">
        <f>IFERROR(ROUND(IF(AND('Расчет участников НИР'!$A303='Состав ВТК'!$B296,'Расчет участников НИР'!$T$10='Состав ВТК'!$I296),$E303,0),2),"-")</f>
        <v>0</v>
      </c>
      <c r="U303" s="298">
        <f>IFERROR(ROUND(IF(AND('Расчет участников НИР'!$A303='Состав ВТК'!$B296,'Расчет участников НИР'!$U$10='Состав ВТК'!$I296),$E303,0),2),"-")</f>
        <v>0</v>
      </c>
      <c r="V303" s="298">
        <f>IFERROR(ROUND(IF(AND('Расчет участников НИР'!$A303='Состав ВТК'!$B296,'Расчет участников НИР'!$V$10='Состав ВТК'!$I296),$E303,0),2),"-")</f>
        <v>0</v>
      </c>
      <c r="W303" s="301" t="str">
        <f t="shared" ref="W303:W356" si="52">IFERROR(T303/$S303,"-")</f>
        <v>-</v>
      </c>
      <c r="X303" s="301" t="str">
        <f t="shared" ref="X303:X356" si="53">IFERROR(U303/$S303,"-")</f>
        <v>-</v>
      </c>
      <c r="Y303" s="301" t="str">
        <f t="shared" ref="Y303:Y356" si="54">IFERROR(V303/$S303,"-")</f>
        <v>-</v>
      </c>
    </row>
    <row r="304" spans="1:25" x14ac:dyDescent="0.25">
      <c r="A304" s="217">
        <f>'Состав ВТК'!B297</f>
        <v>0</v>
      </c>
      <c r="B304" s="290">
        <f>IFERROR(VLOOKUP($A304,Распределение!$B$13:$L$113,11,FALSE),"-")</f>
        <v>0</v>
      </c>
      <c r="C304" s="291" t="str">
        <f>IFERROR(IF(VLOOKUP($B304,Расценка!$H$3:$I$9,2,FALSE)="НС",Расценка!$T$11,Расценка!$T$12),"-")</f>
        <v>-</v>
      </c>
      <c r="D304" s="291">
        <f>IFERROR(INDEX(Распределение!$1:$1048576,MATCH($A304,Распределение!$B:$B,0),MATCH($D$8,Распределение!$9:$9,0)),"---")</f>
        <v>0</v>
      </c>
      <c r="E304" s="292">
        <f>IFERROR(SUMIFS('Трудозатраты членов ВТК'!$G$17:$G$117,'Трудозатраты членов ВТК'!$D$17:$D$117,A:A),"-")</f>
        <v>0</v>
      </c>
      <c r="F304" s="293">
        <f>IFERROR(SUMIFS('Трудозатраты членов ВТК'!$F$464:$F$713,'Трудозатраты членов ВТК'!$D$464:$D$713,A:A),"-")</f>
        <v>0</v>
      </c>
      <c r="G304" s="302"/>
      <c r="H304" s="295">
        <f t="shared" si="48"/>
        <v>0</v>
      </c>
      <c r="I304" s="296">
        <f>IFERROR(ROUND(IF('Состав ВТК'!$K297=справочник!$A$5,IF(AND('Расчет участников НИР'!$A304='Состав ВТК'!$B297,$I$10='Состав ВТК'!$I297),$F304*$D304*VLOOKUP('Расчет участников НИР'!$B304,Расценка!$C$3:$E$13,3,FALSE),0),0),2),"-")</f>
        <v>0</v>
      </c>
      <c r="J304" s="296">
        <f>IFERROR(ROUND(IF('Состав ВТК'!$K297=справочник!$A$5,IF(AND('Расчет участников НИР'!$A304='Состав ВТК'!$B297,$J$10='Состав ВТК'!$I297),$F304*$D304*VLOOKUP('Расчет участников НИР'!$B304,Расценка!$C$3:$E$13,3,FALSE),0),0),2),"-")</f>
        <v>0</v>
      </c>
      <c r="K304" s="296">
        <f>IFERROR(ROUND(IF('Состав ВТК'!$K297=справочник!$A$5,IF(AND('Расчет участников НИР'!$A304='Состав ВТК'!$B297,$K$10='Состав ВТК'!$I297),$F304*$D304*VLOOKUP('Расчет участников НИР'!$B304,Расценка!$C$3:$E$13,3,FALSE),0),0),2),"-")</f>
        <v>0</v>
      </c>
      <c r="L304" s="297"/>
      <c r="M304" s="295">
        <f t="shared" si="49"/>
        <v>0</v>
      </c>
      <c r="N304" s="298">
        <f>IFERROR(ROUND(IF('Состав ВТК'!$K297=справочник!$A$5,(IF(AND($A304='Состав ВТК'!$B297,$N$10=$C304),$F304*$D304*VLOOKUP($B304,Расценка!$H$3:$K$9,4,FALSE),0)),0),2),"-")</f>
        <v>0</v>
      </c>
      <c r="O304" s="298">
        <f>IFERROR(ROUND(IF('Состав ВТК'!$K297=справочник!$A$5,(IF(AND($A304='Состав ВТК'!$B297,$O$10=$C304),$F304*$D304*VLOOKUP($B304,Расценка!$H$3:$K$9,4,FALSE),0)),0),2),"-")</f>
        <v>0</v>
      </c>
      <c r="P304" s="299">
        <f t="shared" si="50"/>
        <v>0</v>
      </c>
      <c r="Q304" s="300">
        <f t="shared" si="46"/>
        <v>0</v>
      </c>
      <c r="R304" s="300">
        <f t="shared" si="47"/>
        <v>0</v>
      </c>
      <c r="S304" s="295">
        <f t="shared" si="51"/>
        <v>0</v>
      </c>
      <c r="T304" s="298">
        <f>IFERROR(ROUND(IF(AND('Расчет участников НИР'!$A304='Состав ВТК'!$B297,'Расчет участников НИР'!$T$10='Состав ВТК'!$I297),$E304,0),2),"-")</f>
        <v>0</v>
      </c>
      <c r="U304" s="298">
        <f>IFERROR(ROUND(IF(AND('Расчет участников НИР'!$A304='Состав ВТК'!$B297,'Расчет участников НИР'!$U$10='Состав ВТК'!$I297),$E304,0),2),"-")</f>
        <v>0</v>
      </c>
      <c r="V304" s="298">
        <f>IFERROR(ROUND(IF(AND('Расчет участников НИР'!$A304='Состав ВТК'!$B297,'Расчет участников НИР'!$V$10='Состав ВТК'!$I297),$E304,0),2),"-")</f>
        <v>0</v>
      </c>
      <c r="W304" s="301" t="str">
        <f t="shared" si="52"/>
        <v>-</v>
      </c>
      <c r="X304" s="301" t="str">
        <f t="shared" si="53"/>
        <v>-</v>
      </c>
      <c r="Y304" s="301" t="str">
        <f t="shared" si="54"/>
        <v>-</v>
      </c>
    </row>
    <row r="305" spans="1:25" x14ac:dyDescent="0.25">
      <c r="A305" s="217">
        <f>'Состав ВТК'!B298</f>
        <v>0</v>
      </c>
      <c r="B305" s="290">
        <f>IFERROR(VLOOKUP($A305,Распределение!$B$13:$L$113,11,FALSE),"-")</f>
        <v>0</v>
      </c>
      <c r="C305" s="291" t="str">
        <f>IFERROR(IF(VLOOKUP($B305,Расценка!$H$3:$I$9,2,FALSE)="НС",Расценка!$T$11,Расценка!$T$12),"-")</f>
        <v>-</v>
      </c>
      <c r="D305" s="291">
        <f>IFERROR(INDEX(Распределение!$1:$1048576,MATCH($A305,Распределение!$B:$B,0),MATCH($D$8,Распределение!$9:$9,0)),"---")</f>
        <v>0</v>
      </c>
      <c r="E305" s="292">
        <f>IFERROR(SUMIFS('Трудозатраты членов ВТК'!$G$17:$G$117,'Трудозатраты членов ВТК'!$D$17:$D$117,A:A),"-")</f>
        <v>0</v>
      </c>
      <c r="F305" s="293">
        <f>IFERROR(SUMIFS('Трудозатраты членов ВТК'!$F$464:$F$713,'Трудозатраты членов ВТК'!$D$464:$D$713,A:A),"-")</f>
        <v>0</v>
      </c>
      <c r="G305" s="302"/>
      <c r="H305" s="295">
        <f t="shared" si="48"/>
        <v>0</v>
      </c>
      <c r="I305" s="296">
        <f>IFERROR(ROUND(IF('Состав ВТК'!$K298=справочник!$A$5,IF(AND('Расчет участников НИР'!$A305='Состав ВТК'!$B298,$I$10='Состав ВТК'!$I298),$F305*$D305*VLOOKUP('Расчет участников НИР'!$B305,Расценка!$C$3:$E$13,3,FALSE),0),0),2),"-")</f>
        <v>0</v>
      </c>
      <c r="J305" s="296">
        <f>IFERROR(ROUND(IF('Состав ВТК'!$K298=справочник!$A$5,IF(AND('Расчет участников НИР'!$A305='Состав ВТК'!$B298,$J$10='Состав ВТК'!$I298),$F305*$D305*VLOOKUP('Расчет участников НИР'!$B305,Расценка!$C$3:$E$13,3,FALSE),0),0),2),"-")</f>
        <v>0</v>
      </c>
      <c r="K305" s="296">
        <f>IFERROR(ROUND(IF('Состав ВТК'!$K298=справочник!$A$5,IF(AND('Расчет участников НИР'!$A305='Состав ВТК'!$B298,$K$10='Состав ВТК'!$I298),$F305*$D305*VLOOKUP('Расчет участников НИР'!$B305,Расценка!$C$3:$E$13,3,FALSE),0),0),2),"-")</f>
        <v>0</v>
      </c>
      <c r="L305" s="297"/>
      <c r="M305" s="295">
        <f t="shared" si="49"/>
        <v>0</v>
      </c>
      <c r="N305" s="298">
        <f>IFERROR(ROUND(IF('Состав ВТК'!$K298=справочник!$A$5,(IF(AND($A305='Состав ВТК'!$B298,$N$10=$C305),$F305*$D305*VLOOKUP($B305,Расценка!$H$3:$K$9,4,FALSE),0)),0),2),"-")</f>
        <v>0</v>
      </c>
      <c r="O305" s="298">
        <f>IFERROR(ROUND(IF('Состав ВТК'!$K298=справочник!$A$5,(IF(AND($A305='Состав ВТК'!$B298,$O$10=$C305),$F305*$D305*VLOOKUP($B305,Расценка!$H$3:$K$9,4,FALSE),0)),0),2),"-")</f>
        <v>0</v>
      </c>
      <c r="P305" s="299">
        <f t="shared" si="50"/>
        <v>0</v>
      </c>
      <c r="Q305" s="300">
        <f t="shared" si="46"/>
        <v>0</v>
      </c>
      <c r="R305" s="300">
        <f t="shared" si="47"/>
        <v>0</v>
      </c>
      <c r="S305" s="295">
        <f t="shared" si="51"/>
        <v>0</v>
      </c>
      <c r="T305" s="298">
        <f>IFERROR(ROUND(IF(AND('Расчет участников НИР'!$A305='Состав ВТК'!$B298,'Расчет участников НИР'!$T$10='Состав ВТК'!$I298),$E305,0),2),"-")</f>
        <v>0</v>
      </c>
      <c r="U305" s="298">
        <f>IFERROR(ROUND(IF(AND('Расчет участников НИР'!$A305='Состав ВТК'!$B298,'Расчет участников НИР'!$U$10='Состав ВТК'!$I298),$E305,0),2),"-")</f>
        <v>0</v>
      </c>
      <c r="V305" s="298">
        <f>IFERROR(ROUND(IF(AND('Расчет участников НИР'!$A305='Состав ВТК'!$B298,'Расчет участников НИР'!$V$10='Состав ВТК'!$I298),$E305,0),2),"-")</f>
        <v>0</v>
      </c>
      <c r="W305" s="301" t="str">
        <f t="shared" si="52"/>
        <v>-</v>
      </c>
      <c r="X305" s="301" t="str">
        <f t="shared" si="53"/>
        <v>-</v>
      </c>
      <c r="Y305" s="301" t="str">
        <f t="shared" si="54"/>
        <v>-</v>
      </c>
    </row>
    <row r="306" spans="1:25" x14ac:dyDescent="0.25">
      <c r="A306" s="217">
        <f>'Состав ВТК'!B299</f>
        <v>0</v>
      </c>
      <c r="B306" s="290">
        <f>IFERROR(VLOOKUP($A306,Распределение!$B$13:$L$113,11,FALSE),"-")</f>
        <v>0</v>
      </c>
      <c r="C306" s="291" t="str">
        <f>IFERROR(IF(VLOOKUP($B306,Расценка!$H$3:$I$9,2,FALSE)="НС",Расценка!$T$11,Расценка!$T$12),"-")</f>
        <v>-</v>
      </c>
      <c r="D306" s="291">
        <f>IFERROR(INDEX(Распределение!$1:$1048576,MATCH($A306,Распределение!$B:$B,0),MATCH($D$8,Распределение!$9:$9,0)),"---")</f>
        <v>0</v>
      </c>
      <c r="E306" s="292">
        <f>IFERROR(SUMIFS('Трудозатраты членов ВТК'!$G$17:$G$117,'Трудозатраты членов ВТК'!$D$17:$D$117,A:A),"-")</f>
        <v>0</v>
      </c>
      <c r="F306" s="293">
        <f>IFERROR(SUMIFS('Трудозатраты членов ВТК'!$F$464:$F$713,'Трудозатраты членов ВТК'!$D$464:$D$713,A:A),"-")</f>
        <v>0</v>
      </c>
      <c r="G306" s="302"/>
      <c r="H306" s="295">
        <f t="shared" si="48"/>
        <v>0</v>
      </c>
      <c r="I306" s="296">
        <f>IFERROR(ROUND(IF('Состав ВТК'!$K299=справочник!$A$5,IF(AND('Расчет участников НИР'!$A306='Состав ВТК'!$B299,$I$10='Состав ВТК'!$I299),$F306*$D306*VLOOKUP('Расчет участников НИР'!$B306,Расценка!$C$3:$E$13,3,FALSE),0),0),2),"-")</f>
        <v>0</v>
      </c>
      <c r="J306" s="296">
        <f>IFERROR(ROUND(IF('Состав ВТК'!$K299=справочник!$A$5,IF(AND('Расчет участников НИР'!$A306='Состав ВТК'!$B299,$J$10='Состав ВТК'!$I299),$F306*$D306*VLOOKUP('Расчет участников НИР'!$B306,Расценка!$C$3:$E$13,3,FALSE),0),0),2),"-")</f>
        <v>0</v>
      </c>
      <c r="K306" s="296">
        <f>IFERROR(ROUND(IF('Состав ВТК'!$K299=справочник!$A$5,IF(AND('Расчет участников НИР'!$A306='Состав ВТК'!$B299,$K$10='Состав ВТК'!$I299),$F306*$D306*VLOOKUP('Расчет участников НИР'!$B306,Расценка!$C$3:$E$13,3,FALSE),0),0),2),"-")</f>
        <v>0</v>
      </c>
      <c r="L306" s="297"/>
      <c r="M306" s="295">
        <f t="shared" si="49"/>
        <v>0</v>
      </c>
      <c r="N306" s="298">
        <f>IFERROR(ROUND(IF('Состав ВТК'!$K299=справочник!$A$5,(IF(AND($A306='Состав ВТК'!$B299,$N$10=$C306),$F306*$D306*VLOOKUP($B306,Расценка!$H$3:$K$9,4,FALSE),0)),0),2),"-")</f>
        <v>0</v>
      </c>
      <c r="O306" s="298">
        <f>IFERROR(ROUND(IF('Состав ВТК'!$K299=справочник!$A$5,(IF(AND($A306='Состав ВТК'!$B299,$O$10=$C306),$F306*$D306*VLOOKUP($B306,Расценка!$H$3:$K$9,4,FALSE),0)),0),2),"-")</f>
        <v>0</v>
      </c>
      <c r="P306" s="299">
        <f t="shared" si="50"/>
        <v>0</v>
      </c>
      <c r="Q306" s="300">
        <f t="shared" si="46"/>
        <v>0</v>
      </c>
      <c r="R306" s="300">
        <f t="shared" si="47"/>
        <v>0</v>
      </c>
      <c r="S306" s="295">
        <f t="shared" si="51"/>
        <v>0</v>
      </c>
      <c r="T306" s="298">
        <f>IFERROR(ROUND(IF(AND('Расчет участников НИР'!$A306='Состав ВТК'!$B299,'Расчет участников НИР'!$T$10='Состав ВТК'!$I299),$E306,0),2),"-")</f>
        <v>0</v>
      </c>
      <c r="U306" s="298">
        <f>IFERROR(ROUND(IF(AND('Расчет участников НИР'!$A306='Состав ВТК'!$B299,'Расчет участников НИР'!$U$10='Состав ВТК'!$I299),$E306,0),2),"-")</f>
        <v>0</v>
      </c>
      <c r="V306" s="298">
        <f>IFERROR(ROUND(IF(AND('Расчет участников НИР'!$A306='Состав ВТК'!$B299,'Расчет участников НИР'!$V$10='Состав ВТК'!$I299),$E306,0),2),"-")</f>
        <v>0</v>
      </c>
      <c r="W306" s="301" t="str">
        <f t="shared" si="52"/>
        <v>-</v>
      </c>
      <c r="X306" s="301" t="str">
        <f t="shared" si="53"/>
        <v>-</v>
      </c>
      <c r="Y306" s="301" t="str">
        <f t="shared" si="54"/>
        <v>-</v>
      </c>
    </row>
    <row r="307" spans="1:25" x14ac:dyDescent="0.25">
      <c r="A307" s="217">
        <f>'Состав ВТК'!B300</f>
        <v>0</v>
      </c>
      <c r="B307" s="290">
        <f>IFERROR(VLOOKUP($A307,Распределение!$B$13:$L$113,11,FALSE),"-")</f>
        <v>0</v>
      </c>
      <c r="C307" s="291" t="str">
        <f>IFERROR(IF(VLOOKUP($B307,Расценка!$H$3:$I$9,2,FALSE)="НС",Расценка!$T$11,Расценка!$T$12),"-")</f>
        <v>-</v>
      </c>
      <c r="D307" s="291">
        <f>IFERROR(INDEX(Распределение!$1:$1048576,MATCH($A307,Распределение!$B:$B,0),MATCH($D$8,Распределение!$9:$9,0)),"---")</f>
        <v>0</v>
      </c>
      <c r="E307" s="292">
        <f>IFERROR(SUMIFS('Трудозатраты членов ВТК'!$G$17:$G$117,'Трудозатраты членов ВТК'!$D$17:$D$117,A:A),"-")</f>
        <v>0</v>
      </c>
      <c r="F307" s="293">
        <f>IFERROR(SUMIFS('Трудозатраты членов ВТК'!$F$464:$F$713,'Трудозатраты членов ВТК'!$D$464:$D$713,A:A),"-")</f>
        <v>0</v>
      </c>
      <c r="G307" s="302"/>
      <c r="H307" s="295">
        <f t="shared" si="48"/>
        <v>0</v>
      </c>
      <c r="I307" s="296">
        <f>IFERROR(ROUND(IF('Состав ВТК'!$K300=справочник!$A$5,IF(AND('Расчет участников НИР'!$A307='Состав ВТК'!$B300,$I$10='Состав ВТК'!$I300),$F307*$D307*VLOOKUP('Расчет участников НИР'!$B307,Расценка!$C$3:$E$13,3,FALSE),0),0),2),"-")</f>
        <v>0</v>
      </c>
      <c r="J307" s="296">
        <f>IFERROR(ROUND(IF('Состав ВТК'!$K300=справочник!$A$5,IF(AND('Расчет участников НИР'!$A307='Состав ВТК'!$B300,$J$10='Состав ВТК'!$I300),$F307*$D307*VLOOKUP('Расчет участников НИР'!$B307,Расценка!$C$3:$E$13,3,FALSE),0),0),2),"-")</f>
        <v>0</v>
      </c>
      <c r="K307" s="296">
        <f>IFERROR(ROUND(IF('Состав ВТК'!$K300=справочник!$A$5,IF(AND('Расчет участников НИР'!$A307='Состав ВТК'!$B300,$K$10='Состав ВТК'!$I300),$F307*$D307*VLOOKUP('Расчет участников НИР'!$B307,Расценка!$C$3:$E$13,3,FALSE),0),0),2),"-")</f>
        <v>0</v>
      </c>
      <c r="L307" s="297"/>
      <c r="M307" s="295">
        <f t="shared" si="49"/>
        <v>0</v>
      </c>
      <c r="N307" s="298">
        <f>IFERROR(ROUND(IF('Состав ВТК'!$K300=справочник!$A$5,(IF(AND($A307='Состав ВТК'!$B300,$N$10=$C307),$F307*$D307*VLOOKUP($B307,Расценка!$H$3:$K$9,4,FALSE),0)),0),2),"-")</f>
        <v>0</v>
      </c>
      <c r="O307" s="298">
        <f>IFERROR(ROUND(IF('Состав ВТК'!$K300=справочник!$A$5,(IF(AND($A307='Состав ВТК'!$B300,$O$10=$C307),$F307*$D307*VLOOKUP($B307,Расценка!$H$3:$K$9,4,FALSE),0)),0),2),"-")</f>
        <v>0</v>
      </c>
      <c r="P307" s="299">
        <f t="shared" si="50"/>
        <v>0</v>
      </c>
      <c r="Q307" s="300">
        <f t="shared" si="46"/>
        <v>0</v>
      </c>
      <c r="R307" s="300">
        <f t="shared" si="47"/>
        <v>0</v>
      </c>
      <c r="S307" s="295">
        <f t="shared" si="51"/>
        <v>0</v>
      </c>
      <c r="T307" s="298">
        <f>IFERROR(ROUND(IF(AND('Расчет участников НИР'!$A307='Состав ВТК'!$B300,'Расчет участников НИР'!$T$10='Состав ВТК'!$I300),$E307,0),2),"-")</f>
        <v>0</v>
      </c>
      <c r="U307" s="298">
        <f>IFERROR(ROUND(IF(AND('Расчет участников НИР'!$A307='Состав ВТК'!$B300,'Расчет участников НИР'!$U$10='Состав ВТК'!$I300),$E307,0),2),"-")</f>
        <v>0</v>
      </c>
      <c r="V307" s="298">
        <f>IFERROR(ROUND(IF(AND('Расчет участников НИР'!$A307='Состав ВТК'!$B300,'Расчет участников НИР'!$V$10='Состав ВТК'!$I300),$E307,0),2),"-")</f>
        <v>0</v>
      </c>
      <c r="W307" s="301" t="str">
        <f t="shared" si="52"/>
        <v>-</v>
      </c>
      <c r="X307" s="301" t="str">
        <f t="shared" si="53"/>
        <v>-</v>
      </c>
      <c r="Y307" s="301" t="str">
        <f t="shared" si="54"/>
        <v>-</v>
      </c>
    </row>
    <row r="308" spans="1:25" x14ac:dyDescent="0.25">
      <c r="A308" s="217">
        <f>'Состав ВТК'!B301</f>
        <v>0</v>
      </c>
      <c r="B308" s="290">
        <f>IFERROR(VLOOKUP($A308,Распределение!$B$13:$L$113,11,FALSE),"-")</f>
        <v>0</v>
      </c>
      <c r="C308" s="291" t="str">
        <f>IFERROR(IF(VLOOKUP($B308,Расценка!$H$3:$I$9,2,FALSE)="НС",Расценка!$T$11,Расценка!$T$12),"-")</f>
        <v>-</v>
      </c>
      <c r="D308" s="291">
        <f>IFERROR(INDEX(Распределение!$1:$1048576,MATCH($A308,Распределение!$B:$B,0),MATCH($D$8,Распределение!$9:$9,0)),"---")</f>
        <v>0</v>
      </c>
      <c r="E308" s="292">
        <f>IFERROR(SUMIFS('Трудозатраты членов ВТК'!$G$17:$G$117,'Трудозатраты членов ВТК'!$D$17:$D$117,A:A),"-")</f>
        <v>0</v>
      </c>
      <c r="F308" s="293">
        <f>IFERROR(SUMIFS('Трудозатраты членов ВТК'!$F$464:$F$713,'Трудозатраты членов ВТК'!$D$464:$D$713,A:A),"-")</f>
        <v>0</v>
      </c>
      <c r="G308" s="302"/>
      <c r="H308" s="295">
        <f t="shared" si="48"/>
        <v>0</v>
      </c>
      <c r="I308" s="296">
        <f>IFERROR(ROUND(IF('Состав ВТК'!$K301=справочник!$A$5,IF(AND('Расчет участников НИР'!$A308='Состав ВТК'!$B301,$I$10='Состав ВТК'!$I301),$F308*$D308*VLOOKUP('Расчет участников НИР'!$B308,Расценка!$C$3:$E$13,3,FALSE),0),0),2),"-")</f>
        <v>0</v>
      </c>
      <c r="J308" s="296">
        <f>IFERROR(ROUND(IF('Состав ВТК'!$K301=справочник!$A$5,IF(AND('Расчет участников НИР'!$A308='Состав ВТК'!$B301,$J$10='Состав ВТК'!$I301),$F308*$D308*VLOOKUP('Расчет участников НИР'!$B308,Расценка!$C$3:$E$13,3,FALSE),0),0),2),"-")</f>
        <v>0</v>
      </c>
      <c r="K308" s="296">
        <f>IFERROR(ROUND(IF('Состав ВТК'!$K301=справочник!$A$5,IF(AND('Расчет участников НИР'!$A308='Состав ВТК'!$B301,$K$10='Состав ВТК'!$I301),$F308*$D308*VLOOKUP('Расчет участников НИР'!$B308,Расценка!$C$3:$E$13,3,FALSE),0),0),2),"-")</f>
        <v>0</v>
      </c>
      <c r="L308" s="297"/>
      <c r="M308" s="295">
        <f t="shared" si="49"/>
        <v>0</v>
      </c>
      <c r="N308" s="298">
        <f>IFERROR(ROUND(IF('Состав ВТК'!$K301=справочник!$A$5,(IF(AND($A308='Состав ВТК'!$B301,$N$10=$C308),$F308*$D308*VLOOKUP($B308,Расценка!$H$3:$K$9,4,FALSE),0)),0),2),"-")</f>
        <v>0</v>
      </c>
      <c r="O308" s="298">
        <f>IFERROR(ROUND(IF('Состав ВТК'!$K301=справочник!$A$5,(IF(AND($A308='Состав ВТК'!$B301,$O$10=$C308),$F308*$D308*VLOOKUP($B308,Расценка!$H$3:$K$9,4,FALSE),0)),0),2),"-")</f>
        <v>0</v>
      </c>
      <c r="P308" s="299">
        <f t="shared" si="50"/>
        <v>0</v>
      </c>
      <c r="Q308" s="300">
        <f t="shared" si="46"/>
        <v>0</v>
      </c>
      <c r="R308" s="300">
        <f t="shared" si="47"/>
        <v>0</v>
      </c>
      <c r="S308" s="295">
        <f t="shared" si="51"/>
        <v>0</v>
      </c>
      <c r="T308" s="298">
        <f>IFERROR(ROUND(IF(AND('Расчет участников НИР'!$A308='Состав ВТК'!$B301,'Расчет участников НИР'!$T$10='Состав ВТК'!$I301),$E308,0),2),"-")</f>
        <v>0</v>
      </c>
      <c r="U308" s="298">
        <f>IFERROR(ROUND(IF(AND('Расчет участников НИР'!$A308='Состав ВТК'!$B301,'Расчет участников НИР'!$U$10='Состав ВТК'!$I301),$E308,0),2),"-")</f>
        <v>0</v>
      </c>
      <c r="V308" s="298">
        <f>IFERROR(ROUND(IF(AND('Расчет участников НИР'!$A308='Состав ВТК'!$B301,'Расчет участников НИР'!$V$10='Состав ВТК'!$I301),$E308,0),2),"-")</f>
        <v>0</v>
      </c>
      <c r="W308" s="301" t="str">
        <f t="shared" si="52"/>
        <v>-</v>
      </c>
      <c r="X308" s="301" t="str">
        <f t="shared" si="53"/>
        <v>-</v>
      </c>
      <c r="Y308" s="301" t="str">
        <f t="shared" si="54"/>
        <v>-</v>
      </c>
    </row>
    <row r="309" spans="1:25" x14ac:dyDescent="0.25">
      <c r="A309" s="217">
        <f>'Состав ВТК'!B302</f>
        <v>0</v>
      </c>
      <c r="B309" s="290">
        <f>IFERROR(VLOOKUP($A309,Распределение!$B$13:$L$113,11,FALSE),"-")</f>
        <v>0</v>
      </c>
      <c r="C309" s="291" t="str">
        <f>IFERROR(IF(VLOOKUP($B309,Расценка!$H$3:$I$9,2,FALSE)="НС",Расценка!$T$11,Расценка!$T$12),"-")</f>
        <v>-</v>
      </c>
      <c r="D309" s="291">
        <f>IFERROR(INDEX(Распределение!$1:$1048576,MATCH($A309,Распределение!$B:$B,0),MATCH($D$8,Распределение!$9:$9,0)),"---")</f>
        <v>0</v>
      </c>
      <c r="E309" s="292">
        <f>IFERROR(SUMIFS('Трудозатраты членов ВТК'!$G$17:$G$117,'Трудозатраты членов ВТК'!$D$17:$D$117,A:A),"-")</f>
        <v>0</v>
      </c>
      <c r="F309" s="293">
        <f>IFERROR(SUMIFS('Трудозатраты членов ВТК'!$F$464:$F$713,'Трудозатраты членов ВТК'!$D$464:$D$713,A:A),"-")</f>
        <v>0</v>
      </c>
      <c r="G309" s="302"/>
      <c r="H309" s="295">
        <f t="shared" si="48"/>
        <v>0</v>
      </c>
      <c r="I309" s="296">
        <f>IFERROR(ROUND(IF('Состав ВТК'!$K302=справочник!$A$5,IF(AND('Расчет участников НИР'!$A309='Состав ВТК'!$B302,$I$10='Состав ВТК'!$I302),$F309*$D309*VLOOKUP('Расчет участников НИР'!$B309,Расценка!$C$3:$E$13,3,FALSE),0),0),2),"-")</f>
        <v>0</v>
      </c>
      <c r="J309" s="296">
        <f>IFERROR(ROUND(IF('Состав ВТК'!$K302=справочник!$A$5,IF(AND('Расчет участников НИР'!$A309='Состав ВТК'!$B302,$J$10='Состав ВТК'!$I302),$F309*$D309*VLOOKUP('Расчет участников НИР'!$B309,Расценка!$C$3:$E$13,3,FALSE),0),0),2),"-")</f>
        <v>0</v>
      </c>
      <c r="K309" s="296">
        <f>IFERROR(ROUND(IF('Состав ВТК'!$K302=справочник!$A$5,IF(AND('Расчет участников НИР'!$A309='Состав ВТК'!$B302,$K$10='Состав ВТК'!$I302),$F309*$D309*VLOOKUP('Расчет участников НИР'!$B309,Расценка!$C$3:$E$13,3,FALSE),0),0),2),"-")</f>
        <v>0</v>
      </c>
      <c r="L309" s="297"/>
      <c r="M309" s="295">
        <f t="shared" si="49"/>
        <v>0</v>
      </c>
      <c r="N309" s="298">
        <f>IFERROR(ROUND(IF('Состав ВТК'!$K302=справочник!$A$5,(IF(AND($A309='Состав ВТК'!$B302,$N$10=$C309),$F309*$D309*VLOOKUP($B309,Расценка!$H$3:$K$9,4,FALSE),0)),0),2),"-")</f>
        <v>0</v>
      </c>
      <c r="O309" s="298">
        <f>IFERROR(ROUND(IF('Состав ВТК'!$K302=справочник!$A$5,(IF(AND($A309='Состав ВТК'!$B302,$O$10=$C309),$F309*$D309*VLOOKUP($B309,Расценка!$H$3:$K$9,4,FALSE),0)),0),2),"-")</f>
        <v>0</v>
      </c>
      <c r="P309" s="299">
        <f t="shared" si="50"/>
        <v>0</v>
      </c>
      <c r="Q309" s="300">
        <f t="shared" si="46"/>
        <v>0</v>
      </c>
      <c r="R309" s="300">
        <f t="shared" si="47"/>
        <v>0</v>
      </c>
      <c r="S309" s="295">
        <f t="shared" si="51"/>
        <v>0</v>
      </c>
      <c r="T309" s="298">
        <f>IFERROR(ROUND(IF(AND('Расчет участников НИР'!$A309='Состав ВТК'!$B302,'Расчет участников НИР'!$T$10='Состав ВТК'!$I302),$E309,0),2),"-")</f>
        <v>0</v>
      </c>
      <c r="U309" s="298">
        <f>IFERROR(ROUND(IF(AND('Расчет участников НИР'!$A309='Состав ВТК'!$B302,'Расчет участников НИР'!$U$10='Состав ВТК'!$I302),$E309,0),2),"-")</f>
        <v>0</v>
      </c>
      <c r="V309" s="298">
        <f>IFERROR(ROUND(IF(AND('Расчет участников НИР'!$A309='Состав ВТК'!$B302,'Расчет участников НИР'!$V$10='Состав ВТК'!$I302),$E309,0),2),"-")</f>
        <v>0</v>
      </c>
      <c r="W309" s="301" t="str">
        <f t="shared" si="52"/>
        <v>-</v>
      </c>
      <c r="X309" s="301" t="str">
        <f t="shared" si="53"/>
        <v>-</v>
      </c>
      <c r="Y309" s="301" t="str">
        <f t="shared" si="54"/>
        <v>-</v>
      </c>
    </row>
    <row r="310" spans="1:25" x14ac:dyDescent="0.25">
      <c r="A310" s="217">
        <f>'Состав ВТК'!B303</f>
        <v>0</v>
      </c>
      <c r="B310" s="290">
        <f>IFERROR(VLOOKUP($A310,Распределение!$B$13:$L$113,11,FALSE),"-")</f>
        <v>0</v>
      </c>
      <c r="C310" s="291" t="str">
        <f>IFERROR(IF(VLOOKUP($B310,Расценка!$H$3:$I$9,2,FALSE)="НС",Расценка!$T$11,Расценка!$T$12),"-")</f>
        <v>-</v>
      </c>
      <c r="D310" s="291">
        <f>IFERROR(INDEX(Распределение!$1:$1048576,MATCH($A310,Распределение!$B:$B,0),MATCH($D$8,Распределение!$9:$9,0)),"---")</f>
        <v>0</v>
      </c>
      <c r="E310" s="292">
        <f>IFERROR(SUMIFS('Трудозатраты членов ВТК'!$G$17:$G$117,'Трудозатраты членов ВТК'!$D$17:$D$117,A:A),"-")</f>
        <v>0</v>
      </c>
      <c r="F310" s="293">
        <f>IFERROR(SUMIFS('Трудозатраты членов ВТК'!$F$464:$F$713,'Трудозатраты членов ВТК'!$D$464:$D$713,A:A),"-")</f>
        <v>0</v>
      </c>
      <c r="G310" s="302"/>
      <c r="H310" s="295">
        <f t="shared" si="48"/>
        <v>0</v>
      </c>
      <c r="I310" s="296">
        <f>IFERROR(ROUND(IF('Состав ВТК'!$K303=справочник!$A$5,IF(AND('Расчет участников НИР'!$A310='Состав ВТК'!$B303,$I$10='Состав ВТК'!$I303),$F310*$D310*VLOOKUP('Расчет участников НИР'!$B310,Расценка!$C$3:$E$13,3,FALSE),0),0),2),"-")</f>
        <v>0</v>
      </c>
      <c r="J310" s="296">
        <f>IFERROR(ROUND(IF('Состав ВТК'!$K303=справочник!$A$5,IF(AND('Расчет участников НИР'!$A310='Состав ВТК'!$B303,$J$10='Состав ВТК'!$I303),$F310*$D310*VLOOKUP('Расчет участников НИР'!$B310,Расценка!$C$3:$E$13,3,FALSE),0),0),2),"-")</f>
        <v>0</v>
      </c>
      <c r="K310" s="296">
        <f>IFERROR(ROUND(IF('Состав ВТК'!$K303=справочник!$A$5,IF(AND('Расчет участников НИР'!$A310='Состав ВТК'!$B303,$K$10='Состав ВТК'!$I303),$F310*$D310*VLOOKUP('Расчет участников НИР'!$B310,Расценка!$C$3:$E$13,3,FALSE),0),0),2),"-")</f>
        <v>0</v>
      </c>
      <c r="L310" s="297"/>
      <c r="M310" s="295">
        <f t="shared" si="49"/>
        <v>0</v>
      </c>
      <c r="N310" s="298">
        <f>IFERROR(ROUND(IF('Состав ВТК'!$K303=справочник!$A$5,(IF(AND($A310='Состав ВТК'!$B303,$N$10=$C310),$F310*$D310*VLOOKUP($B310,Расценка!$H$3:$K$9,4,FALSE),0)),0),2),"-")</f>
        <v>0</v>
      </c>
      <c r="O310" s="298">
        <f>IFERROR(ROUND(IF('Состав ВТК'!$K303=справочник!$A$5,(IF(AND($A310='Состав ВТК'!$B303,$O$10=$C310),$F310*$D310*VLOOKUP($B310,Расценка!$H$3:$K$9,4,FALSE),0)),0),2),"-")</f>
        <v>0</v>
      </c>
      <c r="P310" s="299">
        <f t="shared" si="50"/>
        <v>0</v>
      </c>
      <c r="Q310" s="300">
        <f t="shared" si="46"/>
        <v>0</v>
      </c>
      <c r="R310" s="300">
        <f t="shared" si="47"/>
        <v>0</v>
      </c>
      <c r="S310" s="295">
        <f t="shared" si="51"/>
        <v>0</v>
      </c>
      <c r="T310" s="298">
        <f>IFERROR(ROUND(IF(AND('Расчет участников НИР'!$A310='Состав ВТК'!$B303,'Расчет участников НИР'!$T$10='Состав ВТК'!$I303),$E310,0),2),"-")</f>
        <v>0</v>
      </c>
      <c r="U310" s="298">
        <f>IFERROR(ROUND(IF(AND('Расчет участников НИР'!$A310='Состав ВТК'!$B303,'Расчет участников НИР'!$U$10='Состав ВТК'!$I303),$E310,0),2),"-")</f>
        <v>0</v>
      </c>
      <c r="V310" s="298">
        <f>IFERROR(ROUND(IF(AND('Расчет участников НИР'!$A310='Состав ВТК'!$B303,'Расчет участников НИР'!$V$10='Состав ВТК'!$I303),$E310,0),2),"-")</f>
        <v>0</v>
      </c>
      <c r="W310" s="301" t="str">
        <f t="shared" si="52"/>
        <v>-</v>
      </c>
      <c r="X310" s="301" t="str">
        <f t="shared" si="53"/>
        <v>-</v>
      </c>
      <c r="Y310" s="301" t="str">
        <f t="shared" si="54"/>
        <v>-</v>
      </c>
    </row>
    <row r="311" spans="1:25" x14ac:dyDescent="0.25">
      <c r="A311" s="217">
        <f>'Состав ВТК'!B304</f>
        <v>0</v>
      </c>
      <c r="B311" s="290">
        <f>IFERROR(VLOOKUP($A311,Распределение!$B$13:$L$113,11,FALSE),"-")</f>
        <v>0</v>
      </c>
      <c r="C311" s="291" t="str">
        <f>IFERROR(IF(VLOOKUP($B311,Расценка!$H$3:$I$9,2,FALSE)="НС",Расценка!$T$11,Расценка!$T$12),"-")</f>
        <v>-</v>
      </c>
      <c r="D311" s="291">
        <f>IFERROR(INDEX(Распределение!$1:$1048576,MATCH($A311,Распределение!$B:$B,0),MATCH($D$8,Распределение!$9:$9,0)),"---")</f>
        <v>0</v>
      </c>
      <c r="E311" s="292">
        <f>IFERROR(SUMIFS('Трудозатраты членов ВТК'!$G$17:$G$117,'Трудозатраты членов ВТК'!$D$17:$D$117,A:A),"-")</f>
        <v>0</v>
      </c>
      <c r="F311" s="293">
        <f>IFERROR(SUMIFS('Трудозатраты членов ВТК'!$F$464:$F$713,'Трудозатраты членов ВТК'!$D$464:$D$713,A:A),"-")</f>
        <v>0</v>
      </c>
      <c r="G311" s="302"/>
      <c r="H311" s="295">
        <f t="shared" si="48"/>
        <v>0</v>
      </c>
      <c r="I311" s="296">
        <f>IFERROR(ROUND(IF('Состав ВТК'!$K304=справочник!$A$5,IF(AND('Расчет участников НИР'!$A311='Состав ВТК'!$B304,$I$10='Состав ВТК'!$I304),$F311*$D311*VLOOKUP('Расчет участников НИР'!$B311,Расценка!$C$3:$E$13,3,FALSE),0),0),2),"-")</f>
        <v>0</v>
      </c>
      <c r="J311" s="296">
        <f>IFERROR(ROUND(IF('Состав ВТК'!$K304=справочник!$A$5,IF(AND('Расчет участников НИР'!$A311='Состав ВТК'!$B304,$J$10='Состав ВТК'!$I304),$F311*$D311*VLOOKUP('Расчет участников НИР'!$B311,Расценка!$C$3:$E$13,3,FALSE),0),0),2),"-")</f>
        <v>0</v>
      </c>
      <c r="K311" s="296">
        <f>IFERROR(ROUND(IF('Состав ВТК'!$K304=справочник!$A$5,IF(AND('Расчет участников НИР'!$A311='Состав ВТК'!$B304,$K$10='Состав ВТК'!$I304),$F311*$D311*VLOOKUP('Расчет участников НИР'!$B311,Расценка!$C$3:$E$13,3,FALSE),0),0),2),"-")</f>
        <v>0</v>
      </c>
      <c r="L311" s="297"/>
      <c r="M311" s="295">
        <f t="shared" si="49"/>
        <v>0</v>
      </c>
      <c r="N311" s="298">
        <f>IFERROR(ROUND(IF('Состав ВТК'!$K304=справочник!$A$5,(IF(AND($A311='Состав ВТК'!$B304,$N$10=$C311),$F311*$D311*VLOOKUP($B311,Расценка!$H$3:$K$9,4,FALSE),0)),0),2),"-")</f>
        <v>0</v>
      </c>
      <c r="O311" s="298">
        <f>IFERROR(ROUND(IF('Состав ВТК'!$K304=справочник!$A$5,(IF(AND($A311='Состав ВТК'!$B304,$O$10=$C311),$F311*$D311*VLOOKUP($B311,Расценка!$H$3:$K$9,4,FALSE),0)),0),2),"-")</f>
        <v>0</v>
      </c>
      <c r="P311" s="299">
        <f t="shared" si="50"/>
        <v>0</v>
      </c>
      <c r="Q311" s="300">
        <f t="shared" si="46"/>
        <v>0</v>
      </c>
      <c r="R311" s="300">
        <f t="shared" si="47"/>
        <v>0</v>
      </c>
      <c r="S311" s="295">
        <f t="shared" si="51"/>
        <v>0</v>
      </c>
      <c r="T311" s="298">
        <f>IFERROR(ROUND(IF(AND('Расчет участников НИР'!$A311='Состав ВТК'!$B304,'Расчет участников НИР'!$T$10='Состав ВТК'!$I304),$E311,0),2),"-")</f>
        <v>0</v>
      </c>
      <c r="U311" s="298">
        <f>IFERROR(ROUND(IF(AND('Расчет участников НИР'!$A311='Состав ВТК'!$B304,'Расчет участников НИР'!$U$10='Состав ВТК'!$I304),$E311,0),2),"-")</f>
        <v>0</v>
      </c>
      <c r="V311" s="298">
        <f>IFERROR(ROUND(IF(AND('Расчет участников НИР'!$A311='Состав ВТК'!$B304,'Расчет участников НИР'!$V$10='Состав ВТК'!$I304),$E311,0),2),"-")</f>
        <v>0</v>
      </c>
      <c r="W311" s="301" t="str">
        <f t="shared" si="52"/>
        <v>-</v>
      </c>
      <c r="X311" s="301" t="str">
        <f t="shared" si="53"/>
        <v>-</v>
      </c>
      <c r="Y311" s="301" t="str">
        <f t="shared" si="54"/>
        <v>-</v>
      </c>
    </row>
    <row r="312" spans="1:25" x14ac:dyDescent="0.25">
      <c r="A312" s="217">
        <f>'Состав ВТК'!B305</f>
        <v>0</v>
      </c>
      <c r="B312" s="290">
        <f>IFERROR(VLOOKUP($A312,Распределение!$B$13:$L$113,11,FALSE),"-")</f>
        <v>0</v>
      </c>
      <c r="C312" s="291" t="str">
        <f>IFERROR(IF(VLOOKUP($B312,Расценка!$H$3:$I$9,2,FALSE)="НС",Расценка!$T$11,Расценка!$T$12),"-")</f>
        <v>-</v>
      </c>
      <c r="D312" s="291">
        <f>IFERROR(INDEX(Распределение!$1:$1048576,MATCH($A312,Распределение!$B:$B,0),MATCH($D$8,Распределение!$9:$9,0)),"---")</f>
        <v>0</v>
      </c>
      <c r="E312" s="292">
        <f>IFERROR(SUMIFS('Трудозатраты членов ВТК'!$G$17:$G$117,'Трудозатраты членов ВТК'!$D$17:$D$117,A:A),"-")</f>
        <v>0</v>
      </c>
      <c r="F312" s="293">
        <f>IFERROR(SUMIFS('Трудозатраты членов ВТК'!$F$464:$F$713,'Трудозатраты членов ВТК'!$D$464:$D$713,A:A),"-")</f>
        <v>0</v>
      </c>
      <c r="G312" s="302"/>
      <c r="H312" s="295">
        <f t="shared" si="48"/>
        <v>0</v>
      </c>
      <c r="I312" s="296">
        <f>IFERROR(ROUND(IF('Состав ВТК'!$K305=справочник!$A$5,IF(AND('Расчет участников НИР'!$A312='Состав ВТК'!$B305,$I$10='Состав ВТК'!$I305),$F312*$D312*VLOOKUP('Расчет участников НИР'!$B312,Расценка!$C$3:$E$13,3,FALSE),0),0),2),"-")</f>
        <v>0</v>
      </c>
      <c r="J312" s="296">
        <f>IFERROR(ROUND(IF('Состав ВТК'!$K305=справочник!$A$5,IF(AND('Расчет участников НИР'!$A312='Состав ВТК'!$B305,$J$10='Состав ВТК'!$I305),$F312*$D312*VLOOKUP('Расчет участников НИР'!$B312,Расценка!$C$3:$E$13,3,FALSE),0),0),2),"-")</f>
        <v>0</v>
      </c>
      <c r="K312" s="296">
        <f>IFERROR(ROUND(IF('Состав ВТК'!$K305=справочник!$A$5,IF(AND('Расчет участников НИР'!$A312='Состав ВТК'!$B305,$K$10='Состав ВТК'!$I305),$F312*$D312*VLOOKUP('Расчет участников НИР'!$B312,Расценка!$C$3:$E$13,3,FALSE),0),0),2),"-")</f>
        <v>0</v>
      </c>
      <c r="L312" s="297"/>
      <c r="M312" s="295">
        <f t="shared" si="49"/>
        <v>0</v>
      </c>
      <c r="N312" s="298">
        <f>IFERROR(ROUND(IF('Состав ВТК'!$K305=справочник!$A$5,(IF(AND($A312='Состав ВТК'!$B305,$N$10=$C312),$F312*$D312*VLOOKUP($B312,Расценка!$H$3:$K$9,4,FALSE),0)),0),2),"-")</f>
        <v>0</v>
      </c>
      <c r="O312" s="298">
        <f>IFERROR(ROUND(IF('Состав ВТК'!$K305=справочник!$A$5,(IF(AND($A312='Состав ВТК'!$B305,$O$10=$C312),$F312*$D312*VLOOKUP($B312,Расценка!$H$3:$K$9,4,FALSE),0)),0),2),"-")</f>
        <v>0</v>
      </c>
      <c r="P312" s="299">
        <f t="shared" si="50"/>
        <v>0</v>
      </c>
      <c r="Q312" s="300">
        <f t="shared" si="46"/>
        <v>0</v>
      </c>
      <c r="R312" s="300">
        <f t="shared" si="47"/>
        <v>0</v>
      </c>
      <c r="S312" s="295">
        <f t="shared" si="51"/>
        <v>0</v>
      </c>
      <c r="T312" s="298">
        <f>IFERROR(ROUND(IF(AND('Расчет участников НИР'!$A312='Состав ВТК'!$B305,'Расчет участников НИР'!$T$10='Состав ВТК'!$I305),$E312,0),2),"-")</f>
        <v>0</v>
      </c>
      <c r="U312" s="298">
        <f>IFERROR(ROUND(IF(AND('Расчет участников НИР'!$A312='Состав ВТК'!$B305,'Расчет участников НИР'!$U$10='Состав ВТК'!$I305),$E312,0),2),"-")</f>
        <v>0</v>
      </c>
      <c r="V312" s="298">
        <f>IFERROR(ROUND(IF(AND('Расчет участников НИР'!$A312='Состав ВТК'!$B305,'Расчет участников НИР'!$V$10='Состав ВТК'!$I305),$E312,0),2),"-")</f>
        <v>0</v>
      </c>
      <c r="W312" s="301" t="str">
        <f t="shared" si="52"/>
        <v>-</v>
      </c>
      <c r="X312" s="301" t="str">
        <f t="shared" si="53"/>
        <v>-</v>
      </c>
      <c r="Y312" s="301" t="str">
        <f t="shared" si="54"/>
        <v>-</v>
      </c>
    </row>
    <row r="313" spans="1:25" x14ac:dyDescent="0.25">
      <c r="A313" s="217">
        <f>'Состав ВТК'!B306</f>
        <v>0</v>
      </c>
      <c r="B313" s="290">
        <f>IFERROR(VLOOKUP($A313,Распределение!$B$13:$L$113,11,FALSE),"-")</f>
        <v>0</v>
      </c>
      <c r="C313" s="291" t="str">
        <f>IFERROR(IF(VLOOKUP($B313,Расценка!$H$3:$I$9,2,FALSE)="НС",Расценка!$T$11,Расценка!$T$12),"-")</f>
        <v>-</v>
      </c>
      <c r="D313" s="291">
        <f>IFERROR(INDEX(Распределение!$1:$1048576,MATCH($A313,Распределение!$B:$B,0),MATCH($D$8,Распределение!$9:$9,0)),"---")</f>
        <v>0</v>
      </c>
      <c r="E313" s="292">
        <f>IFERROR(SUMIFS('Трудозатраты членов ВТК'!$G$17:$G$117,'Трудозатраты членов ВТК'!$D$17:$D$117,A:A),"-")</f>
        <v>0</v>
      </c>
      <c r="F313" s="293">
        <f>IFERROR(SUMIFS('Трудозатраты членов ВТК'!$F$464:$F$713,'Трудозатраты членов ВТК'!$D$464:$D$713,A:A),"-")</f>
        <v>0</v>
      </c>
      <c r="G313" s="302"/>
      <c r="H313" s="295">
        <f t="shared" si="48"/>
        <v>0</v>
      </c>
      <c r="I313" s="296">
        <f>IFERROR(ROUND(IF('Состав ВТК'!$K306=справочник!$A$5,IF(AND('Расчет участников НИР'!$A313='Состав ВТК'!$B306,$I$10='Состав ВТК'!$I306),$F313*$D313*VLOOKUP('Расчет участников НИР'!$B313,Расценка!$C$3:$E$13,3,FALSE),0),0),2),"-")</f>
        <v>0</v>
      </c>
      <c r="J313" s="296">
        <f>IFERROR(ROUND(IF('Состав ВТК'!$K306=справочник!$A$5,IF(AND('Расчет участников НИР'!$A313='Состав ВТК'!$B306,$J$10='Состав ВТК'!$I306),$F313*$D313*VLOOKUP('Расчет участников НИР'!$B313,Расценка!$C$3:$E$13,3,FALSE),0),0),2),"-")</f>
        <v>0</v>
      </c>
      <c r="K313" s="296">
        <f>IFERROR(ROUND(IF('Состав ВТК'!$K306=справочник!$A$5,IF(AND('Расчет участников НИР'!$A313='Состав ВТК'!$B306,$K$10='Состав ВТК'!$I306),$F313*$D313*VLOOKUP('Расчет участников НИР'!$B313,Расценка!$C$3:$E$13,3,FALSE),0),0),2),"-")</f>
        <v>0</v>
      </c>
      <c r="L313" s="297"/>
      <c r="M313" s="295">
        <f t="shared" si="49"/>
        <v>0</v>
      </c>
      <c r="N313" s="298">
        <f>IFERROR(ROUND(IF('Состав ВТК'!$K306=справочник!$A$5,(IF(AND($A313='Состав ВТК'!$B306,$N$10=$C313),$F313*$D313*VLOOKUP($B313,Расценка!$H$3:$K$9,4,FALSE),0)),0),2),"-")</f>
        <v>0</v>
      </c>
      <c r="O313" s="298">
        <f>IFERROR(ROUND(IF('Состав ВТК'!$K306=справочник!$A$5,(IF(AND($A313='Состав ВТК'!$B306,$O$10=$C313),$F313*$D313*VLOOKUP($B313,Расценка!$H$3:$K$9,4,FALSE),0)),0),2),"-")</f>
        <v>0</v>
      </c>
      <c r="P313" s="299">
        <f t="shared" si="50"/>
        <v>0</v>
      </c>
      <c r="Q313" s="300">
        <f t="shared" si="46"/>
        <v>0</v>
      </c>
      <c r="R313" s="300">
        <f t="shared" si="47"/>
        <v>0</v>
      </c>
      <c r="S313" s="295">
        <f t="shared" si="51"/>
        <v>0</v>
      </c>
      <c r="T313" s="298">
        <f>IFERROR(ROUND(IF(AND('Расчет участников НИР'!$A313='Состав ВТК'!$B306,'Расчет участников НИР'!$T$10='Состав ВТК'!$I306),$E313,0),2),"-")</f>
        <v>0</v>
      </c>
      <c r="U313" s="298">
        <f>IFERROR(ROUND(IF(AND('Расчет участников НИР'!$A313='Состав ВТК'!$B306,'Расчет участников НИР'!$U$10='Состав ВТК'!$I306),$E313,0),2),"-")</f>
        <v>0</v>
      </c>
      <c r="V313" s="298">
        <f>IFERROR(ROUND(IF(AND('Расчет участников НИР'!$A313='Состав ВТК'!$B306,'Расчет участников НИР'!$V$10='Состав ВТК'!$I306),$E313,0),2),"-")</f>
        <v>0</v>
      </c>
      <c r="W313" s="301" t="str">
        <f t="shared" si="52"/>
        <v>-</v>
      </c>
      <c r="X313" s="301" t="str">
        <f t="shared" si="53"/>
        <v>-</v>
      </c>
      <c r="Y313" s="301" t="str">
        <f t="shared" si="54"/>
        <v>-</v>
      </c>
    </row>
    <row r="314" spans="1:25" x14ac:dyDescent="0.25">
      <c r="A314" s="217">
        <f>'Состав ВТК'!B307</f>
        <v>0</v>
      </c>
      <c r="B314" s="290">
        <f>IFERROR(VLOOKUP($A314,Распределение!$B$13:$L$113,11,FALSE),"-")</f>
        <v>0</v>
      </c>
      <c r="C314" s="291" t="str">
        <f>IFERROR(IF(VLOOKUP($B314,Расценка!$H$3:$I$9,2,FALSE)="НС",Расценка!$T$11,Расценка!$T$12),"-")</f>
        <v>-</v>
      </c>
      <c r="D314" s="291">
        <f>IFERROR(INDEX(Распределение!$1:$1048576,MATCH($A314,Распределение!$B:$B,0),MATCH($D$8,Распределение!$9:$9,0)),"---")</f>
        <v>0</v>
      </c>
      <c r="E314" s="292">
        <f>IFERROR(SUMIFS('Трудозатраты членов ВТК'!$G$17:$G$117,'Трудозатраты членов ВТК'!$D$17:$D$117,A:A),"-")</f>
        <v>0</v>
      </c>
      <c r="F314" s="293">
        <f>IFERROR(SUMIFS('Трудозатраты членов ВТК'!$F$464:$F$713,'Трудозатраты членов ВТК'!$D$464:$D$713,A:A),"-")</f>
        <v>0</v>
      </c>
      <c r="G314" s="302"/>
      <c r="H314" s="295">
        <f t="shared" si="48"/>
        <v>0</v>
      </c>
      <c r="I314" s="296">
        <f>IFERROR(ROUND(IF('Состав ВТК'!$K307=справочник!$A$5,IF(AND('Расчет участников НИР'!$A314='Состав ВТК'!$B307,$I$10='Состав ВТК'!$I307),$F314*$D314*VLOOKUP('Расчет участников НИР'!$B314,Расценка!$C$3:$E$13,3,FALSE),0),0),2),"-")</f>
        <v>0</v>
      </c>
      <c r="J314" s="296">
        <f>IFERROR(ROUND(IF('Состав ВТК'!$K307=справочник!$A$5,IF(AND('Расчет участников НИР'!$A314='Состав ВТК'!$B307,$J$10='Состав ВТК'!$I307),$F314*$D314*VLOOKUP('Расчет участников НИР'!$B314,Расценка!$C$3:$E$13,3,FALSE),0),0),2),"-")</f>
        <v>0</v>
      </c>
      <c r="K314" s="296">
        <f>IFERROR(ROUND(IF('Состав ВТК'!$K307=справочник!$A$5,IF(AND('Расчет участников НИР'!$A314='Состав ВТК'!$B307,$K$10='Состав ВТК'!$I307),$F314*$D314*VLOOKUP('Расчет участников НИР'!$B314,Расценка!$C$3:$E$13,3,FALSE),0),0),2),"-")</f>
        <v>0</v>
      </c>
      <c r="L314" s="297"/>
      <c r="M314" s="295">
        <f t="shared" si="49"/>
        <v>0</v>
      </c>
      <c r="N314" s="298">
        <f>IFERROR(ROUND(IF('Состав ВТК'!$K307=справочник!$A$5,(IF(AND($A314='Состав ВТК'!$B307,$N$10=$C314),$F314*$D314*VLOOKUP($B314,Расценка!$H$3:$K$9,4,FALSE),0)),0),2),"-")</f>
        <v>0</v>
      </c>
      <c r="O314" s="298">
        <f>IFERROR(ROUND(IF('Состав ВТК'!$K307=справочник!$A$5,(IF(AND($A314='Состав ВТК'!$B307,$O$10=$C314),$F314*$D314*VLOOKUP($B314,Расценка!$H$3:$K$9,4,FALSE),0)),0),2),"-")</f>
        <v>0</v>
      </c>
      <c r="P314" s="299">
        <f t="shared" si="50"/>
        <v>0</v>
      </c>
      <c r="Q314" s="300">
        <f t="shared" si="46"/>
        <v>0</v>
      </c>
      <c r="R314" s="300">
        <f t="shared" si="47"/>
        <v>0</v>
      </c>
      <c r="S314" s="295">
        <f t="shared" si="51"/>
        <v>0</v>
      </c>
      <c r="T314" s="298">
        <f>IFERROR(ROUND(IF(AND('Расчет участников НИР'!$A314='Состав ВТК'!$B307,'Расчет участников НИР'!$T$10='Состав ВТК'!$I307),$E314,0),2),"-")</f>
        <v>0</v>
      </c>
      <c r="U314" s="298">
        <f>IFERROR(ROUND(IF(AND('Расчет участников НИР'!$A314='Состав ВТК'!$B307,'Расчет участников НИР'!$U$10='Состав ВТК'!$I307),$E314,0),2),"-")</f>
        <v>0</v>
      </c>
      <c r="V314" s="298">
        <f>IFERROR(ROUND(IF(AND('Расчет участников НИР'!$A314='Состав ВТК'!$B307,'Расчет участников НИР'!$V$10='Состав ВТК'!$I307),$E314,0),2),"-")</f>
        <v>0</v>
      </c>
      <c r="W314" s="301" t="str">
        <f t="shared" si="52"/>
        <v>-</v>
      </c>
      <c r="X314" s="301" t="str">
        <f t="shared" si="53"/>
        <v>-</v>
      </c>
      <c r="Y314" s="301" t="str">
        <f t="shared" si="54"/>
        <v>-</v>
      </c>
    </row>
    <row r="315" spans="1:25" x14ac:dyDescent="0.25">
      <c r="A315" s="217">
        <f>'Состав ВТК'!B308</f>
        <v>0</v>
      </c>
      <c r="B315" s="290">
        <f>IFERROR(VLOOKUP($A315,Распределение!$B$13:$L$113,11,FALSE),"-")</f>
        <v>0</v>
      </c>
      <c r="C315" s="291" t="str">
        <f>IFERROR(IF(VLOOKUP($B315,Расценка!$H$3:$I$9,2,FALSE)="НС",Расценка!$T$11,Расценка!$T$12),"-")</f>
        <v>-</v>
      </c>
      <c r="D315" s="291">
        <f>IFERROR(INDEX(Распределение!$1:$1048576,MATCH($A315,Распределение!$B:$B,0),MATCH($D$8,Распределение!$9:$9,0)),"---")</f>
        <v>0</v>
      </c>
      <c r="E315" s="292">
        <f>IFERROR(SUMIFS('Трудозатраты членов ВТК'!$G$17:$G$117,'Трудозатраты членов ВТК'!$D$17:$D$117,A:A),"-")</f>
        <v>0</v>
      </c>
      <c r="F315" s="293">
        <f>IFERROR(SUMIFS('Трудозатраты членов ВТК'!$F$464:$F$713,'Трудозатраты членов ВТК'!$D$464:$D$713,A:A),"-")</f>
        <v>0</v>
      </c>
      <c r="G315" s="302"/>
      <c r="H315" s="295">
        <f t="shared" si="48"/>
        <v>0</v>
      </c>
      <c r="I315" s="296">
        <f>IFERROR(ROUND(IF('Состав ВТК'!$K308=справочник!$A$5,IF(AND('Расчет участников НИР'!$A315='Состав ВТК'!$B308,$I$10='Состав ВТК'!$I308),$F315*$D315*VLOOKUP('Расчет участников НИР'!$B315,Расценка!$C$3:$E$13,3,FALSE),0),0),2),"-")</f>
        <v>0</v>
      </c>
      <c r="J315" s="296">
        <f>IFERROR(ROUND(IF('Состав ВТК'!$K308=справочник!$A$5,IF(AND('Расчет участников НИР'!$A315='Состав ВТК'!$B308,$J$10='Состав ВТК'!$I308),$F315*$D315*VLOOKUP('Расчет участников НИР'!$B315,Расценка!$C$3:$E$13,3,FALSE),0),0),2),"-")</f>
        <v>0</v>
      </c>
      <c r="K315" s="296">
        <f>IFERROR(ROUND(IF('Состав ВТК'!$K308=справочник!$A$5,IF(AND('Расчет участников НИР'!$A315='Состав ВТК'!$B308,$K$10='Состав ВТК'!$I308),$F315*$D315*VLOOKUP('Расчет участников НИР'!$B315,Расценка!$C$3:$E$13,3,FALSE),0),0),2),"-")</f>
        <v>0</v>
      </c>
      <c r="L315" s="297"/>
      <c r="M315" s="295">
        <f t="shared" si="49"/>
        <v>0</v>
      </c>
      <c r="N315" s="298">
        <f>IFERROR(ROUND(IF('Состав ВТК'!$K308=справочник!$A$5,(IF(AND($A315='Состав ВТК'!$B308,$N$10=$C315),$F315*$D315*VLOOKUP($B315,Расценка!$H$3:$K$9,4,FALSE),0)),0),2),"-")</f>
        <v>0</v>
      </c>
      <c r="O315" s="298">
        <f>IFERROR(ROUND(IF('Состав ВТК'!$K308=справочник!$A$5,(IF(AND($A315='Состав ВТК'!$B308,$O$10=$C315),$F315*$D315*VLOOKUP($B315,Расценка!$H$3:$K$9,4,FALSE),0)),0),2),"-")</f>
        <v>0</v>
      </c>
      <c r="P315" s="299">
        <f t="shared" si="50"/>
        <v>0</v>
      </c>
      <c r="Q315" s="300">
        <f t="shared" si="46"/>
        <v>0</v>
      </c>
      <c r="R315" s="300">
        <f t="shared" si="47"/>
        <v>0</v>
      </c>
      <c r="S315" s="295">
        <f t="shared" si="51"/>
        <v>0</v>
      </c>
      <c r="T315" s="298">
        <f>IFERROR(ROUND(IF(AND('Расчет участников НИР'!$A315='Состав ВТК'!$B308,'Расчет участников НИР'!$T$10='Состав ВТК'!$I308),$E315,0),2),"-")</f>
        <v>0</v>
      </c>
      <c r="U315" s="298">
        <f>IFERROR(ROUND(IF(AND('Расчет участников НИР'!$A315='Состав ВТК'!$B308,'Расчет участников НИР'!$U$10='Состав ВТК'!$I308),$E315,0),2),"-")</f>
        <v>0</v>
      </c>
      <c r="V315" s="298">
        <f>IFERROR(ROUND(IF(AND('Расчет участников НИР'!$A315='Состав ВТК'!$B308,'Расчет участников НИР'!$V$10='Состав ВТК'!$I308),$E315,0),2),"-")</f>
        <v>0</v>
      </c>
      <c r="W315" s="301" t="str">
        <f t="shared" si="52"/>
        <v>-</v>
      </c>
      <c r="X315" s="301" t="str">
        <f t="shared" si="53"/>
        <v>-</v>
      </c>
      <c r="Y315" s="301" t="str">
        <f t="shared" si="54"/>
        <v>-</v>
      </c>
    </row>
    <row r="316" spans="1:25" x14ac:dyDescent="0.25">
      <c r="A316" s="217">
        <f>'Состав ВТК'!B309</f>
        <v>0</v>
      </c>
      <c r="B316" s="290">
        <f>IFERROR(VLOOKUP($A316,Распределение!$B$13:$L$113,11,FALSE),"-")</f>
        <v>0</v>
      </c>
      <c r="C316" s="291" t="str">
        <f>IFERROR(IF(VLOOKUP($B316,Расценка!$H$3:$I$9,2,FALSE)="НС",Расценка!$T$11,Расценка!$T$12),"-")</f>
        <v>-</v>
      </c>
      <c r="D316" s="291">
        <f>IFERROR(INDEX(Распределение!$1:$1048576,MATCH($A316,Распределение!$B:$B,0),MATCH($D$8,Распределение!$9:$9,0)),"---")</f>
        <v>0</v>
      </c>
      <c r="E316" s="292">
        <f>IFERROR(SUMIFS('Трудозатраты членов ВТК'!$G$17:$G$117,'Трудозатраты членов ВТК'!$D$17:$D$117,A:A),"-")</f>
        <v>0</v>
      </c>
      <c r="F316" s="293">
        <f>IFERROR(SUMIFS('Трудозатраты членов ВТК'!$F$464:$F$713,'Трудозатраты членов ВТК'!$D$464:$D$713,A:A),"-")</f>
        <v>0</v>
      </c>
      <c r="G316" s="302"/>
      <c r="H316" s="295">
        <f t="shared" si="48"/>
        <v>0</v>
      </c>
      <c r="I316" s="296">
        <f>IFERROR(ROUND(IF('Состав ВТК'!$K309=справочник!$A$5,IF(AND('Расчет участников НИР'!$A316='Состав ВТК'!$B309,$I$10='Состав ВТК'!$I309),$F316*$D316*VLOOKUP('Расчет участников НИР'!$B316,Расценка!$C$3:$E$13,3,FALSE),0),0),2),"-")</f>
        <v>0</v>
      </c>
      <c r="J316" s="296">
        <f>IFERROR(ROUND(IF('Состав ВТК'!$K309=справочник!$A$5,IF(AND('Расчет участников НИР'!$A316='Состав ВТК'!$B309,$J$10='Состав ВТК'!$I309),$F316*$D316*VLOOKUP('Расчет участников НИР'!$B316,Расценка!$C$3:$E$13,3,FALSE),0),0),2),"-")</f>
        <v>0</v>
      </c>
      <c r="K316" s="296">
        <f>IFERROR(ROUND(IF('Состав ВТК'!$K309=справочник!$A$5,IF(AND('Расчет участников НИР'!$A316='Состав ВТК'!$B309,$K$10='Состав ВТК'!$I309),$F316*$D316*VLOOKUP('Расчет участников НИР'!$B316,Расценка!$C$3:$E$13,3,FALSE),0),0),2),"-")</f>
        <v>0</v>
      </c>
      <c r="L316" s="297"/>
      <c r="M316" s="295">
        <f t="shared" si="49"/>
        <v>0</v>
      </c>
      <c r="N316" s="298">
        <f>IFERROR(ROUND(IF('Состав ВТК'!$K309=справочник!$A$5,(IF(AND($A316='Состав ВТК'!$B309,$N$10=$C316),$F316*$D316*VLOOKUP($B316,Расценка!$H$3:$K$9,4,FALSE),0)),0),2),"-")</f>
        <v>0</v>
      </c>
      <c r="O316" s="298">
        <f>IFERROR(ROUND(IF('Состав ВТК'!$K309=справочник!$A$5,(IF(AND($A316='Состав ВТК'!$B309,$O$10=$C316),$F316*$D316*VLOOKUP($B316,Расценка!$H$3:$K$9,4,FALSE),0)),0),2),"-")</f>
        <v>0</v>
      </c>
      <c r="P316" s="299">
        <f t="shared" si="50"/>
        <v>0</v>
      </c>
      <c r="Q316" s="300">
        <f t="shared" si="46"/>
        <v>0</v>
      </c>
      <c r="R316" s="300">
        <f t="shared" si="47"/>
        <v>0</v>
      </c>
      <c r="S316" s="295">
        <f t="shared" si="51"/>
        <v>0</v>
      </c>
      <c r="T316" s="298">
        <f>IFERROR(ROUND(IF(AND('Расчет участников НИР'!$A316='Состав ВТК'!$B309,'Расчет участников НИР'!$T$10='Состав ВТК'!$I309),$E316,0),2),"-")</f>
        <v>0</v>
      </c>
      <c r="U316" s="298">
        <f>IFERROR(ROUND(IF(AND('Расчет участников НИР'!$A316='Состав ВТК'!$B309,'Расчет участников НИР'!$U$10='Состав ВТК'!$I309),$E316,0),2),"-")</f>
        <v>0</v>
      </c>
      <c r="V316" s="298">
        <f>IFERROR(ROUND(IF(AND('Расчет участников НИР'!$A316='Состав ВТК'!$B309,'Расчет участников НИР'!$V$10='Состав ВТК'!$I309),$E316,0),2),"-")</f>
        <v>0</v>
      </c>
      <c r="W316" s="301" t="str">
        <f t="shared" si="52"/>
        <v>-</v>
      </c>
      <c r="X316" s="301" t="str">
        <f t="shared" si="53"/>
        <v>-</v>
      </c>
      <c r="Y316" s="301" t="str">
        <f t="shared" si="54"/>
        <v>-</v>
      </c>
    </row>
    <row r="317" spans="1:25" x14ac:dyDescent="0.25">
      <c r="A317" s="217">
        <f>'Состав ВТК'!B310</f>
        <v>0</v>
      </c>
      <c r="B317" s="290">
        <f>IFERROR(VLOOKUP($A317,Распределение!$B$13:$L$113,11,FALSE),"-")</f>
        <v>0</v>
      </c>
      <c r="C317" s="291" t="str">
        <f>IFERROR(IF(VLOOKUP($B317,Расценка!$H$3:$I$9,2,FALSE)="НС",Расценка!$T$11,Расценка!$T$12),"-")</f>
        <v>-</v>
      </c>
      <c r="D317" s="291">
        <f>IFERROR(INDEX(Распределение!$1:$1048576,MATCH($A317,Распределение!$B:$B,0),MATCH($D$8,Распределение!$9:$9,0)),"---")</f>
        <v>0</v>
      </c>
      <c r="E317" s="292">
        <f>IFERROR(SUMIFS('Трудозатраты членов ВТК'!$G$17:$G$117,'Трудозатраты членов ВТК'!$D$17:$D$117,A:A),"-")</f>
        <v>0</v>
      </c>
      <c r="F317" s="293">
        <f>IFERROR(SUMIFS('Трудозатраты членов ВТК'!$F$464:$F$713,'Трудозатраты членов ВТК'!$D$464:$D$713,A:A),"-")</f>
        <v>0</v>
      </c>
      <c r="G317" s="302"/>
      <c r="H317" s="295">
        <f t="shared" si="48"/>
        <v>0</v>
      </c>
      <c r="I317" s="296">
        <f>IFERROR(ROUND(IF('Состав ВТК'!$K310=справочник!$A$5,IF(AND('Расчет участников НИР'!$A317='Состав ВТК'!$B310,$I$10='Состав ВТК'!$I310),$F317*$D317*VLOOKUP('Расчет участников НИР'!$B317,Расценка!$C$3:$E$13,3,FALSE),0),0),2),"-")</f>
        <v>0</v>
      </c>
      <c r="J317" s="296">
        <f>IFERROR(ROUND(IF('Состав ВТК'!$K310=справочник!$A$5,IF(AND('Расчет участников НИР'!$A317='Состав ВТК'!$B310,$J$10='Состав ВТК'!$I310),$F317*$D317*VLOOKUP('Расчет участников НИР'!$B317,Расценка!$C$3:$E$13,3,FALSE),0),0),2),"-")</f>
        <v>0</v>
      </c>
      <c r="K317" s="296">
        <f>IFERROR(ROUND(IF('Состав ВТК'!$K310=справочник!$A$5,IF(AND('Расчет участников НИР'!$A317='Состав ВТК'!$B310,$K$10='Состав ВТК'!$I310),$F317*$D317*VLOOKUP('Расчет участников НИР'!$B317,Расценка!$C$3:$E$13,3,FALSE),0),0),2),"-")</f>
        <v>0</v>
      </c>
      <c r="L317" s="297"/>
      <c r="M317" s="295">
        <f t="shared" si="49"/>
        <v>0</v>
      </c>
      <c r="N317" s="298">
        <f>IFERROR(ROUND(IF('Состав ВТК'!$K310=справочник!$A$5,(IF(AND($A317='Состав ВТК'!$B310,$N$10=$C317),$F317*$D317*VLOOKUP($B317,Расценка!$H$3:$K$9,4,FALSE),0)),0),2),"-")</f>
        <v>0</v>
      </c>
      <c r="O317" s="298">
        <f>IFERROR(ROUND(IF('Состав ВТК'!$K310=справочник!$A$5,(IF(AND($A317='Состав ВТК'!$B310,$O$10=$C317),$F317*$D317*VLOOKUP($B317,Расценка!$H$3:$K$9,4,FALSE),0)),0),2),"-")</f>
        <v>0</v>
      </c>
      <c r="P317" s="299">
        <f t="shared" si="50"/>
        <v>0</v>
      </c>
      <c r="Q317" s="300">
        <f t="shared" si="46"/>
        <v>0</v>
      </c>
      <c r="R317" s="300">
        <f t="shared" si="47"/>
        <v>0</v>
      </c>
      <c r="S317" s="295">
        <f t="shared" si="51"/>
        <v>0</v>
      </c>
      <c r="T317" s="298">
        <f>IFERROR(ROUND(IF(AND('Расчет участников НИР'!$A317='Состав ВТК'!$B310,'Расчет участников НИР'!$T$10='Состав ВТК'!$I310),$E317,0),2),"-")</f>
        <v>0</v>
      </c>
      <c r="U317" s="298">
        <f>IFERROR(ROUND(IF(AND('Расчет участников НИР'!$A317='Состав ВТК'!$B310,'Расчет участников НИР'!$U$10='Состав ВТК'!$I310),$E317,0),2),"-")</f>
        <v>0</v>
      </c>
      <c r="V317" s="298">
        <f>IFERROR(ROUND(IF(AND('Расчет участников НИР'!$A317='Состав ВТК'!$B310,'Расчет участников НИР'!$V$10='Состав ВТК'!$I310),$E317,0),2),"-")</f>
        <v>0</v>
      </c>
      <c r="W317" s="301" t="str">
        <f t="shared" si="52"/>
        <v>-</v>
      </c>
      <c r="X317" s="301" t="str">
        <f t="shared" si="53"/>
        <v>-</v>
      </c>
      <c r="Y317" s="301" t="str">
        <f t="shared" si="54"/>
        <v>-</v>
      </c>
    </row>
    <row r="318" spans="1:25" x14ac:dyDescent="0.25">
      <c r="A318" s="217">
        <f>'Состав ВТК'!B311</f>
        <v>0</v>
      </c>
      <c r="B318" s="290">
        <f>IFERROR(VLOOKUP($A318,Распределение!$B$13:$L$113,11,FALSE),"-")</f>
        <v>0</v>
      </c>
      <c r="C318" s="291" t="str">
        <f>IFERROR(IF(VLOOKUP($B318,Расценка!$H$3:$I$9,2,FALSE)="НС",Расценка!$T$11,Расценка!$T$12),"-")</f>
        <v>-</v>
      </c>
      <c r="D318" s="291">
        <f>IFERROR(INDEX(Распределение!$1:$1048576,MATCH($A318,Распределение!$B:$B,0),MATCH($D$8,Распределение!$9:$9,0)),"---")</f>
        <v>0</v>
      </c>
      <c r="E318" s="292">
        <f>IFERROR(SUMIFS('Трудозатраты членов ВТК'!$G$17:$G$117,'Трудозатраты членов ВТК'!$D$17:$D$117,A:A),"-")</f>
        <v>0</v>
      </c>
      <c r="F318" s="293">
        <f>IFERROR(SUMIFS('Трудозатраты членов ВТК'!$F$464:$F$713,'Трудозатраты членов ВТК'!$D$464:$D$713,A:A),"-")</f>
        <v>0</v>
      </c>
      <c r="G318" s="302"/>
      <c r="H318" s="295">
        <f t="shared" si="48"/>
        <v>0</v>
      </c>
      <c r="I318" s="296">
        <f>IFERROR(ROUND(IF('Состав ВТК'!$K311=справочник!$A$5,IF(AND('Расчет участников НИР'!$A318='Состав ВТК'!$B311,$I$10='Состав ВТК'!$I311),$F318*$D318*VLOOKUP('Расчет участников НИР'!$B318,Расценка!$C$3:$E$13,3,FALSE),0),0),2),"-")</f>
        <v>0</v>
      </c>
      <c r="J318" s="296">
        <f>IFERROR(ROUND(IF('Состав ВТК'!$K311=справочник!$A$5,IF(AND('Расчет участников НИР'!$A318='Состав ВТК'!$B311,$J$10='Состав ВТК'!$I311),$F318*$D318*VLOOKUP('Расчет участников НИР'!$B318,Расценка!$C$3:$E$13,3,FALSE),0),0),2),"-")</f>
        <v>0</v>
      </c>
      <c r="K318" s="296">
        <f>IFERROR(ROUND(IF('Состав ВТК'!$K311=справочник!$A$5,IF(AND('Расчет участников НИР'!$A318='Состав ВТК'!$B311,$K$10='Состав ВТК'!$I311),$F318*$D318*VLOOKUP('Расчет участников НИР'!$B318,Расценка!$C$3:$E$13,3,FALSE),0),0),2),"-")</f>
        <v>0</v>
      </c>
      <c r="L318" s="297"/>
      <c r="M318" s="295">
        <f t="shared" si="49"/>
        <v>0</v>
      </c>
      <c r="N318" s="298">
        <f>IFERROR(ROUND(IF('Состав ВТК'!$K311=справочник!$A$5,(IF(AND($A318='Состав ВТК'!$B311,$N$10=$C318),$F318*$D318*VLOOKUP($B318,Расценка!$H$3:$K$9,4,FALSE),0)),0),2),"-")</f>
        <v>0</v>
      </c>
      <c r="O318" s="298">
        <f>IFERROR(ROUND(IF('Состав ВТК'!$K311=справочник!$A$5,(IF(AND($A318='Состав ВТК'!$B311,$O$10=$C318),$F318*$D318*VLOOKUP($B318,Расценка!$H$3:$K$9,4,FALSE),0)),0),2),"-")</f>
        <v>0</v>
      </c>
      <c r="P318" s="299">
        <f t="shared" si="50"/>
        <v>0</v>
      </c>
      <c r="Q318" s="300">
        <f t="shared" si="46"/>
        <v>0</v>
      </c>
      <c r="R318" s="300">
        <f t="shared" si="47"/>
        <v>0</v>
      </c>
      <c r="S318" s="295">
        <f t="shared" si="51"/>
        <v>0</v>
      </c>
      <c r="T318" s="298">
        <f>IFERROR(ROUND(IF(AND('Расчет участников НИР'!$A318='Состав ВТК'!$B311,'Расчет участников НИР'!$T$10='Состав ВТК'!$I311),$E318,0),2),"-")</f>
        <v>0</v>
      </c>
      <c r="U318" s="298">
        <f>IFERROR(ROUND(IF(AND('Расчет участников НИР'!$A318='Состав ВТК'!$B311,'Расчет участников НИР'!$U$10='Состав ВТК'!$I311),$E318,0),2),"-")</f>
        <v>0</v>
      </c>
      <c r="V318" s="298">
        <f>IFERROR(ROUND(IF(AND('Расчет участников НИР'!$A318='Состав ВТК'!$B311,'Расчет участников НИР'!$V$10='Состав ВТК'!$I311),$E318,0),2),"-")</f>
        <v>0</v>
      </c>
      <c r="W318" s="301" t="str">
        <f t="shared" si="52"/>
        <v>-</v>
      </c>
      <c r="X318" s="301" t="str">
        <f t="shared" si="53"/>
        <v>-</v>
      </c>
      <c r="Y318" s="301" t="str">
        <f t="shared" si="54"/>
        <v>-</v>
      </c>
    </row>
    <row r="319" spans="1:25" x14ac:dyDescent="0.25">
      <c r="A319" s="217">
        <f>'Состав ВТК'!B312</f>
        <v>0</v>
      </c>
      <c r="B319" s="290">
        <f>IFERROR(VLOOKUP($A319,Распределение!$B$13:$L$113,11,FALSE),"-")</f>
        <v>0</v>
      </c>
      <c r="C319" s="291" t="str">
        <f>IFERROR(IF(VLOOKUP($B319,Расценка!$H$3:$I$9,2,FALSE)="НС",Расценка!$T$11,Расценка!$T$12),"-")</f>
        <v>-</v>
      </c>
      <c r="D319" s="291">
        <f>IFERROR(INDEX(Распределение!$1:$1048576,MATCH($A319,Распределение!$B:$B,0),MATCH($D$8,Распределение!$9:$9,0)),"---")</f>
        <v>0</v>
      </c>
      <c r="E319" s="292">
        <f>IFERROR(SUMIFS('Трудозатраты членов ВТК'!$G$17:$G$117,'Трудозатраты членов ВТК'!$D$17:$D$117,A:A),"-")</f>
        <v>0</v>
      </c>
      <c r="F319" s="293">
        <f>IFERROR(SUMIFS('Трудозатраты членов ВТК'!$F$464:$F$713,'Трудозатраты членов ВТК'!$D$464:$D$713,A:A),"-")</f>
        <v>0</v>
      </c>
      <c r="G319" s="302"/>
      <c r="H319" s="295">
        <f t="shared" si="48"/>
        <v>0</v>
      </c>
      <c r="I319" s="296">
        <f>IFERROR(ROUND(IF('Состав ВТК'!$K312=справочник!$A$5,IF(AND('Расчет участников НИР'!$A319='Состав ВТК'!$B312,$I$10='Состав ВТК'!$I312),$F319*$D319*VLOOKUP('Расчет участников НИР'!$B319,Расценка!$C$3:$E$13,3,FALSE),0),0),2),"-")</f>
        <v>0</v>
      </c>
      <c r="J319" s="296">
        <f>IFERROR(ROUND(IF('Состав ВТК'!$K312=справочник!$A$5,IF(AND('Расчет участников НИР'!$A319='Состав ВТК'!$B312,$J$10='Состав ВТК'!$I312),$F319*$D319*VLOOKUP('Расчет участников НИР'!$B319,Расценка!$C$3:$E$13,3,FALSE),0),0),2),"-")</f>
        <v>0</v>
      </c>
      <c r="K319" s="296">
        <f>IFERROR(ROUND(IF('Состав ВТК'!$K312=справочник!$A$5,IF(AND('Расчет участников НИР'!$A319='Состав ВТК'!$B312,$K$10='Состав ВТК'!$I312),$F319*$D319*VLOOKUP('Расчет участников НИР'!$B319,Расценка!$C$3:$E$13,3,FALSE),0),0),2),"-")</f>
        <v>0</v>
      </c>
      <c r="L319" s="297"/>
      <c r="M319" s="295">
        <f t="shared" si="49"/>
        <v>0</v>
      </c>
      <c r="N319" s="298">
        <f>IFERROR(ROUND(IF('Состав ВТК'!$K312=справочник!$A$5,(IF(AND($A319='Состав ВТК'!$B312,$N$10=$C319),$F319*$D319*VLOOKUP($B319,Расценка!$H$3:$K$9,4,FALSE),0)),0),2),"-")</f>
        <v>0</v>
      </c>
      <c r="O319" s="298">
        <f>IFERROR(ROUND(IF('Состав ВТК'!$K312=справочник!$A$5,(IF(AND($A319='Состав ВТК'!$B312,$O$10=$C319),$F319*$D319*VLOOKUP($B319,Расценка!$H$3:$K$9,4,FALSE),0)),0),2),"-")</f>
        <v>0</v>
      </c>
      <c r="P319" s="299">
        <f t="shared" si="50"/>
        <v>0</v>
      </c>
      <c r="Q319" s="300">
        <f t="shared" si="46"/>
        <v>0</v>
      </c>
      <c r="R319" s="300">
        <f t="shared" si="47"/>
        <v>0</v>
      </c>
      <c r="S319" s="295">
        <f t="shared" si="51"/>
        <v>0</v>
      </c>
      <c r="T319" s="298">
        <f>IFERROR(ROUND(IF(AND('Расчет участников НИР'!$A319='Состав ВТК'!$B312,'Расчет участников НИР'!$T$10='Состав ВТК'!$I312),$E319,0),2),"-")</f>
        <v>0</v>
      </c>
      <c r="U319" s="298">
        <f>IFERROR(ROUND(IF(AND('Расчет участников НИР'!$A319='Состав ВТК'!$B312,'Расчет участников НИР'!$U$10='Состав ВТК'!$I312),$E319,0),2),"-")</f>
        <v>0</v>
      </c>
      <c r="V319" s="298">
        <f>IFERROR(ROUND(IF(AND('Расчет участников НИР'!$A319='Состав ВТК'!$B312,'Расчет участников НИР'!$V$10='Состав ВТК'!$I312),$E319,0),2),"-")</f>
        <v>0</v>
      </c>
      <c r="W319" s="301" t="str">
        <f t="shared" si="52"/>
        <v>-</v>
      </c>
      <c r="X319" s="301" t="str">
        <f t="shared" si="53"/>
        <v>-</v>
      </c>
      <c r="Y319" s="301" t="str">
        <f t="shared" si="54"/>
        <v>-</v>
      </c>
    </row>
    <row r="320" spans="1:25" x14ac:dyDescent="0.25">
      <c r="A320" s="217">
        <f>'Состав ВТК'!B313</f>
        <v>0</v>
      </c>
      <c r="B320" s="290">
        <f>IFERROR(VLOOKUP($A320,Распределение!$B$13:$L$113,11,FALSE),"-")</f>
        <v>0</v>
      </c>
      <c r="C320" s="291" t="str">
        <f>IFERROR(IF(VLOOKUP($B320,Расценка!$H$3:$I$9,2,FALSE)="НС",Расценка!$T$11,Расценка!$T$12),"-")</f>
        <v>-</v>
      </c>
      <c r="D320" s="291">
        <f>IFERROR(INDEX(Распределение!$1:$1048576,MATCH($A320,Распределение!$B:$B,0),MATCH($D$8,Распределение!$9:$9,0)),"---")</f>
        <v>0</v>
      </c>
      <c r="E320" s="292">
        <f>IFERROR(SUMIFS('Трудозатраты членов ВТК'!$G$17:$G$117,'Трудозатраты членов ВТК'!$D$17:$D$117,A:A),"-")</f>
        <v>0</v>
      </c>
      <c r="F320" s="293">
        <f>IFERROR(SUMIFS('Трудозатраты членов ВТК'!$F$464:$F$713,'Трудозатраты членов ВТК'!$D$464:$D$713,A:A),"-")</f>
        <v>0</v>
      </c>
      <c r="G320" s="302"/>
      <c r="H320" s="295">
        <f t="shared" si="48"/>
        <v>0</v>
      </c>
      <c r="I320" s="296">
        <f>IFERROR(ROUND(IF('Состав ВТК'!$K313=справочник!$A$5,IF(AND('Расчет участников НИР'!$A320='Состав ВТК'!$B313,$I$10='Состав ВТК'!$I313),$F320*$D320*VLOOKUP('Расчет участников НИР'!$B320,Расценка!$C$3:$E$13,3,FALSE),0),0),2),"-")</f>
        <v>0</v>
      </c>
      <c r="J320" s="296">
        <f>IFERROR(ROUND(IF('Состав ВТК'!$K313=справочник!$A$5,IF(AND('Расчет участников НИР'!$A320='Состав ВТК'!$B313,$J$10='Состав ВТК'!$I313),$F320*$D320*VLOOKUP('Расчет участников НИР'!$B320,Расценка!$C$3:$E$13,3,FALSE),0),0),2),"-")</f>
        <v>0</v>
      </c>
      <c r="K320" s="296">
        <f>IFERROR(ROUND(IF('Состав ВТК'!$K313=справочник!$A$5,IF(AND('Расчет участников НИР'!$A320='Состав ВТК'!$B313,$K$10='Состав ВТК'!$I313),$F320*$D320*VLOOKUP('Расчет участников НИР'!$B320,Расценка!$C$3:$E$13,3,FALSE),0),0),2),"-")</f>
        <v>0</v>
      </c>
      <c r="L320" s="297"/>
      <c r="M320" s="295">
        <f t="shared" si="49"/>
        <v>0</v>
      </c>
      <c r="N320" s="298">
        <f>IFERROR(ROUND(IF('Состав ВТК'!$K313=справочник!$A$5,(IF(AND($A320='Состав ВТК'!$B313,$N$10=$C320),$F320*$D320*VLOOKUP($B320,Расценка!$H$3:$K$9,4,FALSE),0)),0),2),"-")</f>
        <v>0</v>
      </c>
      <c r="O320" s="298">
        <f>IFERROR(ROUND(IF('Состав ВТК'!$K313=справочник!$A$5,(IF(AND($A320='Состав ВТК'!$B313,$O$10=$C320),$F320*$D320*VLOOKUP($B320,Расценка!$H$3:$K$9,4,FALSE),0)),0),2),"-")</f>
        <v>0</v>
      </c>
      <c r="P320" s="299">
        <f t="shared" si="50"/>
        <v>0</v>
      </c>
      <c r="Q320" s="300">
        <f t="shared" si="46"/>
        <v>0</v>
      </c>
      <c r="R320" s="300">
        <f t="shared" si="47"/>
        <v>0</v>
      </c>
      <c r="S320" s="295">
        <f t="shared" si="51"/>
        <v>0</v>
      </c>
      <c r="T320" s="298">
        <f>IFERROR(ROUND(IF(AND('Расчет участников НИР'!$A320='Состав ВТК'!$B313,'Расчет участников НИР'!$T$10='Состав ВТК'!$I313),$E320,0),2),"-")</f>
        <v>0</v>
      </c>
      <c r="U320" s="298">
        <f>IFERROR(ROUND(IF(AND('Расчет участников НИР'!$A320='Состав ВТК'!$B313,'Расчет участников НИР'!$U$10='Состав ВТК'!$I313),$E320,0),2),"-")</f>
        <v>0</v>
      </c>
      <c r="V320" s="298">
        <f>IFERROR(ROUND(IF(AND('Расчет участников НИР'!$A320='Состав ВТК'!$B313,'Расчет участников НИР'!$V$10='Состав ВТК'!$I313),$E320,0),2),"-")</f>
        <v>0</v>
      </c>
      <c r="W320" s="301" t="str">
        <f t="shared" si="52"/>
        <v>-</v>
      </c>
      <c r="X320" s="301" t="str">
        <f t="shared" si="53"/>
        <v>-</v>
      </c>
      <c r="Y320" s="301" t="str">
        <f t="shared" si="54"/>
        <v>-</v>
      </c>
    </row>
    <row r="321" spans="1:25" x14ac:dyDescent="0.25">
      <c r="A321" s="217">
        <f>'Состав ВТК'!B314</f>
        <v>0</v>
      </c>
      <c r="B321" s="290">
        <f>IFERROR(VLOOKUP($A321,Распределение!$B$13:$L$113,11,FALSE),"-")</f>
        <v>0</v>
      </c>
      <c r="C321" s="291" t="str">
        <f>IFERROR(IF(VLOOKUP($B321,Расценка!$H$3:$I$9,2,FALSE)="НС",Расценка!$T$11,Расценка!$T$12),"-")</f>
        <v>-</v>
      </c>
      <c r="D321" s="291">
        <f>IFERROR(INDEX(Распределение!$1:$1048576,MATCH($A321,Распределение!$B:$B,0),MATCH($D$8,Распределение!$9:$9,0)),"---")</f>
        <v>0</v>
      </c>
      <c r="E321" s="292">
        <f>IFERROR(SUMIFS('Трудозатраты членов ВТК'!$G$17:$G$117,'Трудозатраты членов ВТК'!$D$17:$D$117,A:A),"-")</f>
        <v>0</v>
      </c>
      <c r="F321" s="293">
        <f>IFERROR(SUMIFS('Трудозатраты членов ВТК'!$F$464:$F$713,'Трудозатраты членов ВТК'!$D$464:$D$713,A:A),"-")</f>
        <v>0</v>
      </c>
      <c r="G321" s="302"/>
      <c r="H321" s="295">
        <f t="shared" si="48"/>
        <v>0</v>
      </c>
      <c r="I321" s="296">
        <f>IFERROR(ROUND(IF('Состав ВТК'!$K314=справочник!$A$5,IF(AND('Расчет участников НИР'!$A321='Состав ВТК'!$B314,$I$10='Состав ВТК'!$I314),$F321*$D321*VLOOKUP('Расчет участников НИР'!$B321,Расценка!$C$3:$E$13,3,FALSE),0),0),2),"-")</f>
        <v>0</v>
      </c>
      <c r="J321" s="296">
        <f>IFERROR(ROUND(IF('Состав ВТК'!$K314=справочник!$A$5,IF(AND('Расчет участников НИР'!$A321='Состав ВТК'!$B314,$J$10='Состав ВТК'!$I314),$F321*$D321*VLOOKUP('Расчет участников НИР'!$B321,Расценка!$C$3:$E$13,3,FALSE),0),0),2),"-")</f>
        <v>0</v>
      </c>
      <c r="K321" s="296">
        <f>IFERROR(ROUND(IF('Состав ВТК'!$K314=справочник!$A$5,IF(AND('Расчет участников НИР'!$A321='Состав ВТК'!$B314,$K$10='Состав ВТК'!$I314),$F321*$D321*VLOOKUP('Расчет участников НИР'!$B321,Расценка!$C$3:$E$13,3,FALSE),0),0),2),"-")</f>
        <v>0</v>
      </c>
      <c r="L321" s="297"/>
      <c r="M321" s="295">
        <f t="shared" si="49"/>
        <v>0</v>
      </c>
      <c r="N321" s="298">
        <f>IFERROR(ROUND(IF('Состав ВТК'!$K314=справочник!$A$5,(IF(AND($A321='Состав ВТК'!$B314,$N$10=$C321),$F321*$D321*VLOOKUP($B321,Расценка!$H$3:$K$9,4,FALSE),0)),0),2),"-")</f>
        <v>0</v>
      </c>
      <c r="O321" s="298">
        <f>IFERROR(ROUND(IF('Состав ВТК'!$K314=справочник!$A$5,(IF(AND($A321='Состав ВТК'!$B314,$O$10=$C321),$F321*$D321*VLOOKUP($B321,Расценка!$H$3:$K$9,4,FALSE),0)),0),2),"-")</f>
        <v>0</v>
      </c>
      <c r="P321" s="299">
        <f t="shared" si="50"/>
        <v>0</v>
      </c>
      <c r="Q321" s="300">
        <f t="shared" si="46"/>
        <v>0</v>
      </c>
      <c r="R321" s="300">
        <f t="shared" si="47"/>
        <v>0</v>
      </c>
      <c r="S321" s="295">
        <f t="shared" si="51"/>
        <v>0</v>
      </c>
      <c r="T321" s="298">
        <f>IFERROR(ROUND(IF(AND('Расчет участников НИР'!$A321='Состав ВТК'!$B314,'Расчет участников НИР'!$T$10='Состав ВТК'!$I314),$E321,0),2),"-")</f>
        <v>0</v>
      </c>
      <c r="U321" s="298">
        <f>IFERROR(ROUND(IF(AND('Расчет участников НИР'!$A321='Состав ВТК'!$B314,'Расчет участников НИР'!$U$10='Состав ВТК'!$I314),$E321,0),2),"-")</f>
        <v>0</v>
      </c>
      <c r="V321" s="298">
        <f>IFERROR(ROUND(IF(AND('Расчет участников НИР'!$A321='Состав ВТК'!$B314,'Расчет участников НИР'!$V$10='Состав ВТК'!$I314),$E321,0),2),"-")</f>
        <v>0</v>
      </c>
      <c r="W321" s="301" t="str">
        <f t="shared" si="52"/>
        <v>-</v>
      </c>
      <c r="X321" s="301" t="str">
        <f t="shared" si="53"/>
        <v>-</v>
      </c>
      <c r="Y321" s="301" t="str">
        <f t="shared" si="54"/>
        <v>-</v>
      </c>
    </row>
    <row r="322" spans="1:25" x14ac:dyDescent="0.25">
      <c r="A322" s="217">
        <f>'Состав ВТК'!B315</f>
        <v>0</v>
      </c>
      <c r="B322" s="290">
        <f>IFERROR(VLOOKUP($A322,Распределение!$B$13:$L$113,11,FALSE),"-")</f>
        <v>0</v>
      </c>
      <c r="C322" s="291" t="str">
        <f>IFERROR(IF(VLOOKUP($B322,Расценка!$H$3:$I$9,2,FALSE)="НС",Расценка!$T$11,Расценка!$T$12),"-")</f>
        <v>-</v>
      </c>
      <c r="D322" s="291">
        <f>IFERROR(INDEX(Распределение!$1:$1048576,MATCH($A322,Распределение!$B:$B,0),MATCH($D$8,Распределение!$9:$9,0)),"---")</f>
        <v>0</v>
      </c>
      <c r="E322" s="292">
        <f>IFERROR(SUMIFS('Трудозатраты членов ВТК'!$G$17:$G$117,'Трудозатраты членов ВТК'!$D$17:$D$117,A:A),"-")</f>
        <v>0</v>
      </c>
      <c r="F322" s="293">
        <f>IFERROR(SUMIFS('Трудозатраты членов ВТК'!$F$464:$F$713,'Трудозатраты членов ВТК'!$D$464:$D$713,A:A),"-")</f>
        <v>0</v>
      </c>
      <c r="G322" s="302"/>
      <c r="H322" s="295">
        <f t="shared" si="48"/>
        <v>0</v>
      </c>
      <c r="I322" s="296">
        <f>IFERROR(ROUND(IF('Состав ВТК'!$K315=справочник!$A$5,IF(AND('Расчет участников НИР'!$A322='Состав ВТК'!$B315,$I$10='Состав ВТК'!$I315),$F322*$D322*VLOOKUP('Расчет участников НИР'!$B322,Расценка!$C$3:$E$13,3,FALSE),0),0),2),"-")</f>
        <v>0</v>
      </c>
      <c r="J322" s="296">
        <f>IFERROR(ROUND(IF('Состав ВТК'!$K315=справочник!$A$5,IF(AND('Расчет участников НИР'!$A322='Состав ВТК'!$B315,$J$10='Состав ВТК'!$I315),$F322*$D322*VLOOKUP('Расчет участников НИР'!$B322,Расценка!$C$3:$E$13,3,FALSE),0),0),2),"-")</f>
        <v>0</v>
      </c>
      <c r="K322" s="296">
        <f>IFERROR(ROUND(IF('Состав ВТК'!$K315=справочник!$A$5,IF(AND('Расчет участников НИР'!$A322='Состав ВТК'!$B315,$K$10='Состав ВТК'!$I315),$F322*$D322*VLOOKUP('Расчет участников НИР'!$B322,Расценка!$C$3:$E$13,3,FALSE),0),0),2),"-")</f>
        <v>0</v>
      </c>
      <c r="L322" s="297"/>
      <c r="M322" s="295">
        <f t="shared" si="49"/>
        <v>0</v>
      </c>
      <c r="N322" s="298">
        <f>IFERROR(ROUND(IF('Состав ВТК'!$K315=справочник!$A$5,(IF(AND($A322='Состав ВТК'!$B315,$N$10=$C322),$F322*$D322*VLOOKUP($B322,Расценка!$H$3:$K$9,4,FALSE),0)),0),2),"-")</f>
        <v>0</v>
      </c>
      <c r="O322" s="298">
        <f>IFERROR(ROUND(IF('Состав ВТК'!$K315=справочник!$A$5,(IF(AND($A322='Состав ВТК'!$B315,$O$10=$C322),$F322*$D322*VLOOKUP($B322,Расценка!$H$3:$K$9,4,FALSE),0)),0),2),"-")</f>
        <v>0</v>
      </c>
      <c r="P322" s="299">
        <f t="shared" si="50"/>
        <v>0</v>
      </c>
      <c r="Q322" s="300">
        <f t="shared" si="46"/>
        <v>0</v>
      </c>
      <c r="R322" s="300">
        <f t="shared" si="47"/>
        <v>0</v>
      </c>
      <c r="S322" s="295">
        <f t="shared" si="51"/>
        <v>0</v>
      </c>
      <c r="T322" s="298">
        <f>IFERROR(ROUND(IF(AND('Расчет участников НИР'!$A322='Состав ВТК'!$B315,'Расчет участников НИР'!$T$10='Состав ВТК'!$I315),$E322,0),2),"-")</f>
        <v>0</v>
      </c>
      <c r="U322" s="298">
        <f>IFERROR(ROUND(IF(AND('Расчет участников НИР'!$A322='Состав ВТК'!$B315,'Расчет участников НИР'!$U$10='Состав ВТК'!$I315),$E322,0),2),"-")</f>
        <v>0</v>
      </c>
      <c r="V322" s="298">
        <f>IFERROR(ROUND(IF(AND('Расчет участников НИР'!$A322='Состав ВТК'!$B315,'Расчет участников НИР'!$V$10='Состав ВТК'!$I315),$E322,0),2),"-")</f>
        <v>0</v>
      </c>
      <c r="W322" s="301" t="str">
        <f t="shared" si="52"/>
        <v>-</v>
      </c>
      <c r="X322" s="301" t="str">
        <f t="shared" si="53"/>
        <v>-</v>
      </c>
      <c r="Y322" s="301" t="str">
        <f t="shared" si="54"/>
        <v>-</v>
      </c>
    </row>
    <row r="323" spans="1:25" x14ac:dyDescent="0.25">
      <c r="A323" s="217">
        <f>'Состав ВТК'!B316</f>
        <v>0</v>
      </c>
      <c r="B323" s="290">
        <f>IFERROR(VLOOKUP($A323,Распределение!$B$13:$L$113,11,FALSE),"-")</f>
        <v>0</v>
      </c>
      <c r="C323" s="291" t="str">
        <f>IFERROR(IF(VLOOKUP($B323,Расценка!$H$3:$I$9,2,FALSE)="НС",Расценка!$T$11,Расценка!$T$12),"-")</f>
        <v>-</v>
      </c>
      <c r="D323" s="291">
        <f>IFERROR(INDEX(Распределение!$1:$1048576,MATCH($A323,Распределение!$B:$B,0),MATCH($D$8,Распределение!$9:$9,0)),"---")</f>
        <v>0</v>
      </c>
      <c r="E323" s="292">
        <f>IFERROR(SUMIFS('Трудозатраты членов ВТК'!$G$17:$G$117,'Трудозатраты членов ВТК'!$D$17:$D$117,A:A),"-")</f>
        <v>0</v>
      </c>
      <c r="F323" s="293">
        <f>IFERROR(SUMIFS('Трудозатраты членов ВТК'!$F$464:$F$713,'Трудозатраты членов ВТК'!$D$464:$D$713,A:A),"-")</f>
        <v>0</v>
      </c>
      <c r="G323" s="302"/>
      <c r="H323" s="295">
        <f t="shared" si="48"/>
        <v>0</v>
      </c>
      <c r="I323" s="296">
        <f>IFERROR(ROUND(IF('Состав ВТК'!$K316=справочник!$A$5,IF(AND('Расчет участников НИР'!$A323='Состав ВТК'!$B316,$I$10='Состав ВТК'!$I316),$F323*$D323*VLOOKUP('Расчет участников НИР'!$B323,Расценка!$C$3:$E$13,3,FALSE),0),0),2),"-")</f>
        <v>0</v>
      </c>
      <c r="J323" s="296">
        <f>IFERROR(ROUND(IF('Состав ВТК'!$K316=справочник!$A$5,IF(AND('Расчет участников НИР'!$A323='Состав ВТК'!$B316,$J$10='Состав ВТК'!$I316),$F323*$D323*VLOOKUP('Расчет участников НИР'!$B323,Расценка!$C$3:$E$13,3,FALSE),0),0),2),"-")</f>
        <v>0</v>
      </c>
      <c r="K323" s="296">
        <f>IFERROR(ROUND(IF('Состав ВТК'!$K316=справочник!$A$5,IF(AND('Расчет участников НИР'!$A323='Состав ВТК'!$B316,$K$10='Состав ВТК'!$I316),$F323*$D323*VLOOKUP('Расчет участников НИР'!$B323,Расценка!$C$3:$E$13,3,FALSE),0),0),2),"-")</f>
        <v>0</v>
      </c>
      <c r="L323" s="297"/>
      <c r="M323" s="295">
        <f t="shared" si="49"/>
        <v>0</v>
      </c>
      <c r="N323" s="298">
        <f>IFERROR(ROUND(IF('Состав ВТК'!$K316=справочник!$A$5,(IF(AND($A323='Состав ВТК'!$B316,$N$10=$C323),$F323*$D323*VLOOKUP($B323,Расценка!$H$3:$K$9,4,FALSE),0)),0),2),"-")</f>
        <v>0</v>
      </c>
      <c r="O323" s="298">
        <f>IFERROR(ROUND(IF('Состав ВТК'!$K316=справочник!$A$5,(IF(AND($A323='Состав ВТК'!$B316,$O$10=$C323),$F323*$D323*VLOOKUP($B323,Расценка!$H$3:$K$9,4,FALSE),0)),0),2),"-")</f>
        <v>0</v>
      </c>
      <c r="P323" s="299">
        <f t="shared" si="50"/>
        <v>0</v>
      </c>
      <c r="Q323" s="300">
        <f t="shared" si="46"/>
        <v>0</v>
      </c>
      <c r="R323" s="300">
        <f t="shared" si="47"/>
        <v>0</v>
      </c>
      <c r="S323" s="295">
        <f t="shared" si="51"/>
        <v>0</v>
      </c>
      <c r="T323" s="298">
        <f>IFERROR(ROUND(IF(AND('Расчет участников НИР'!$A323='Состав ВТК'!$B316,'Расчет участников НИР'!$T$10='Состав ВТК'!$I316),$E323,0),2),"-")</f>
        <v>0</v>
      </c>
      <c r="U323" s="298">
        <f>IFERROR(ROUND(IF(AND('Расчет участников НИР'!$A323='Состав ВТК'!$B316,'Расчет участников НИР'!$U$10='Состав ВТК'!$I316),$E323,0),2),"-")</f>
        <v>0</v>
      </c>
      <c r="V323" s="298">
        <f>IFERROR(ROUND(IF(AND('Расчет участников НИР'!$A323='Состав ВТК'!$B316,'Расчет участников НИР'!$V$10='Состав ВТК'!$I316),$E323,0),2),"-")</f>
        <v>0</v>
      </c>
      <c r="W323" s="301" t="str">
        <f t="shared" si="52"/>
        <v>-</v>
      </c>
      <c r="X323" s="301" t="str">
        <f t="shared" si="53"/>
        <v>-</v>
      </c>
      <c r="Y323" s="301" t="str">
        <f t="shared" si="54"/>
        <v>-</v>
      </c>
    </row>
    <row r="324" spans="1:25" x14ac:dyDescent="0.25">
      <c r="A324" s="217">
        <f>'Состав ВТК'!B317</f>
        <v>0</v>
      </c>
      <c r="B324" s="290">
        <f>IFERROR(VLOOKUP($A324,Распределение!$B$13:$L$113,11,FALSE),"-")</f>
        <v>0</v>
      </c>
      <c r="C324" s="291" t="str">
        <f>IFERROR(IF(VLOOKUP($B324,Расценка!$H$3:$I$9,2,FALSE)="НС",Расценка!$T$11,Расценка!$T$12),"-")</f>
        <v>-</v>
      </c>
      <c r="D324" s="291">
        <f>IFERROR(INDEX(Распределение!$1:$1048576,MATCH($A324,Распределение!$B:$B,0),MATCH($D$8,Распределение!$9:$9,0)),"---")</f>
        <v>0</v>
      </c>
      <c r="E324" s="292">
        <f>IFERROR(SUMIFS('Трудозатраты членов ВТК'!$G$17:$G$117,'Трудозатраты членов ВТК'!$D$17:$D$117,A:A),"-")</f>
        <v>0</v>
      </c>
      <c r="F324" s="293">
        <f>IFERROR(SUMIFS('Трудозатраты членов ВТК'!$F$464:$F$713,'Трудозатраты членов ВТК'!$D$464:$D$713,A:A),"-")</f>
        <v>0</v>
      </c>
      <c r="G324" s="302"/>
      <c r="H324" s="295">
        <f t="shared" si="48"/>
        <v>0</v>
      </c>
      <c r="I324" s="296">
        <f>IFERROR(ROUND(IF('Состав ВТК'!$K317=справочник!$A$5,IF(AND('Расчет участников НИР'!$A324='Состав ВТК'!$B317,$I$10='Состав ВТК'!$I317),$F324*$D324*VLOOKUP('Расчет участников НИР'!$B324,Расценка!$C$3:$E$13,3,FALSE),0),0),2),"-")</f>
        <v>0</v>
      </c>
      <c r="J324" s="296">
        <f>IFERROR(ROUND(IF('Состав ВТК'!$K317=справочник!$A$5,IF(AND('Расчет участников НИР'!$A324='Состав ВТК'!$B317,$J$10='Состав ВТК'!$I317),$F324*$D324*VLOOKUP('Расчет участников НИР'!$B324,Расценка!$C$3:$E$13,3,FALSE),0),0),2),"-")</f>
        <v>0</v>
      </c>
      <c r="K324" s="296">
        <f>IFERROR(ROUND(IF('Состав ВТК'!$K317=справочник!$A$5,IF(AND('Расчет участников НИР'!$A324='Состав ВТК'!$B317,$K$10='Состав ВТК'!$I317),$F324*$D324*VLOOKUP('Расчет участников НИР'!$B324,Расценка!$C$3:$E$13,3,FALSE),0),0),2),"-")</f>
        <v>0</v>
      </c>
      <c r="L324" s="297"/>
      <c r="M324" s="295">
        <f t="shared" si="49"/>
        <v>0</v>
      </c>
      <c r="N324" s="298">
        <f>IFERROR(ROUND(IF('Состав ВТК'!$K317=справочник!$A$5,(IF(AND($A324='Состав ВТК'!$B317,$N$10=$C324),$F324*$D324*VLOOKUP($B324,Расценка!$H$3:$K$9,4,FALSE),0)),0),2),"-")</f>
        <v>0</v>
      </c>
      <c r="O324" s="298">
        <f>IFERROR(ROUND(IF('Состав ВТК'!$K317=справочник!$A$5,(IF(AND($A324='Состав ВТК'!$B317,$O$10=$C324),$F324*$D324*VLOOKUP($B324,Расценка!$H$3:$K$9,4,FALSE),0)),0),2),"-")</f>
        <v>0</v>
      </c>
      <c r="P324" s="299">
        <f t="shared" si="50"/>
        <v>0</v>
      </c>
      <c r="Q324" s="300">
        <f t="shared" si="46"/>
        <v>0</v>
      </c>
      <c r="R324" s="300">
        <f t="shared" si="47"/>
        <v>0</v>
      </c>
      <c r="S324" s="295">
        <f t="shared" si="51"/>
        <v>0</v>
      </c>
      <c r="T324" s="298">
        <f>IFERROR(ROUND(IF(AND('Расчет участников НИР'!$A324='Состав ВТК'!$B317,'Расчет участников НИР'!$T$10='Состав ВТК'!$I317),$E324,0),2),"-")</f>
        <v>0</v>
      </c>
      <c r="U324" s="298">
        <f>IFERROR(ROUND(IF(AND('Расчет участников НИР'!$A324='Состав ВТК'!$B317,'Расчет участников НИР'!$U$10='Состав ВТК'!$I317),$E324,0),2),"-")</f>
        <v>0</v>
      </c>
      <c r="V324" s="298">
        <f>IFERROR(ROUND(IF(AND('Расчет участников НИР'!$A324='Состав ВТК'!$B317,'Расчет участников НИР'!$V$10='Состав ВТК'!$I317),$E324,0),2),"-")</f>
        <v>0</v>
      </c>
      <c r="W324" s="301" t="str">
        <f t="shared" si="52"/>
        <v>-</v>
      </c>
      <c r="X324" s="301" t="str">
        <f t="shared" si="53"/>
        <v>-</v>
      </c>
      <c r="Y324" s="301" t="str">
        <f t="shared" si="54"/>
        <v>-</v>
      </c>
    </row>
    <row r="325" spans="1:25" x14ac:dyDescent="0.25">
      <c r="A325" s="217">
        <f>'Состав ВТК'!B318</f>
        <v>0</v>
      </c>
      <c r="B325" s="290">
        <f>IFERROR(VLOOKUP($A325,Распределение!$B$13:$L$113,11,FALSE),"-")</f>
        <v>0</v>
      </c>
      <c r="C325" s="291" t="str">
        <f>IFERROR(IF(VLOOKUP($B325,Расценка!$H$3:$I$9,2,FALSE)="НС",Расценка!$T$11,Расценка!$T$12),"-")</f>
        <v>-</v>
      </c>
      <c r="D325" s="291">
        <f>IFERROR(INDEX(Распределение!$1:$1048576,MATCH($A325,Распределение!$B:$B,0),MATCH($D$8,Распределение!$9:$9,0)),"---")</f>
        <v>0</v>
      </c>
      <c r="E325" s="292">
        <f>IFERROR(SUMIFS('Трудозатраты членов ВТК'!$G$17:$G$117,'Трудозатраты членов ВТК'!$D$17:$D$117,A:A),"-")</f>
        <v>0</v>
      </c>
      <c r="F325" s="293">
        <f>IFERROR(SUMIFS('Трудозатраты членов ВТК'!$F$464:$F$713,'Трудозатраты членов ВТК'!$D$464:$D$713,A:A),"-")</f>
        <v>0</v>
      </c>
      <c r="G325" s="302"/>
      <c r="H325" s="295">
        <f t="shared" si="48"/>
        <v>0</v>
      </c>
      <c r="I325" s="296">
        <f>IFERROR(ROUND(IF('Состав ВТК'!$K318=справочник!$A$5,IF(AND('Расчет участников НИР'!$A325='Состав ВТК'!$B318,$I$10='Состав ВТК'!$I318),$F325*$D325*VLOOKUP('Расчет участников НИР'!$B325,Расценка!$C$3:$E$13,3,FALSE),0),0),2),"-")</f>
        <v>0</v>
      </c>
      <c r="J325" s="296">
        <f>IFERROR(ROUND(IF('Состав ВТК'!$K318=справочник!$A$5,IF(AND('Расчет участников НИР'!$A325='Состав ВТК'!$B318,$J$10='Состав ВТК'!$I318),$F325*$D325*VLOOKUP('Расчет участников НИР'!$B325,Расценка!$C$3:$E$13,3,FALSE),0),0),2),"-")</f>
        <v>0</v>
      </c>
      <c r="K325" s="296">
        <f>IFERROR(ROUND(IF('Состав ВТК'!$K318=справочник!$A$5,IF(AND('Расчет участников НИР'!$A325='Состав ВТК'!$B318,$K$10='Состав ВТК'!$I318),$F325*$D325*VLOOKUP('Расчет участников НИР'!$B325,Расценка!$C$3:$E$13,3,FALSE),0),0),2),"-")</f>
        <v>0</v>
      </c>
      <c r="L325" s="297"/>
      <c r="M325" s="295">
        <f t="shared" si="49"/>
        <v>0</v>
      </c>
      <c r="N325" s="298">
        <f>IFERROR(ROUND(IF('Состав ВТК'!$K318=справочник!$A$5,(IF(AND($A325='Состав ВТК'!$B318,$N$10=$C325),$F325*$D325*VLOOKUP($B325,Расценка!$H$3:$K$9,4,FALSE),0)),0),2),"-")</f>
        <v>0</v>
      </c>
      <c r="O325" s="298">
        <f>IFERROR(ROUND(IF('Состав ВТК'!$K318=справочник!$A$5,(IF(AND($A325='Состав ВТК'!$B318,$O$10=$C325),$F325*$D325*VLOOKUP($B325,Расценка!$H$3:$K$9,4,FALSE),0)),0),2),"-")</f>
        <v>0</v>
      </c>
      <c r="P325" s="299">
        <f t="shared" si="50"/>
        <v>0</v>
      </c>
      <c r="Q325" s="300">
        <f t="shared" si="46"/>
        <v>0</v>
      </c>
      <c r="R325" s="300">
        <f t="shared" si="47"/>
        <v>0</v>
      </c>
      <c r="S325" s="295">
        <f t="shared" si="51"/>
        <v>0</v>
      </c>
      <c r="T325" s="298">
        <f>IFERROR(ROUND(IF(AND('Расчет участников НИР'!$A325='Состав ВТК'!$B318,'Расчет участников НИР'!$T$10='Состав ВТК'!$I318),$E325,0),2),"-")</f>
        <v>0</v>
      </c>
      <c r="U325" s="298">
        <f>IFERROR(ROUND(IF(AND('Расчет участников НИР'!$A325='Состав ВТК'!$B318,'Расчет участников НИР'!$U$10='Состав ВТК'!$I318),$E325,0),2),"-")</f>
        <v>0</v>
      </c>
      <c r="V325" s="298">
        <f>IFERROR(ROUND(IF(AND('Расчет участников НИР'!$A325='Состав ВТК'!$B318,'Расчет участников НИР'!$V$10='Состав ВТК'!$I318),$E325,0),2),"-")</f>
        <v>0</v>
      </c>
      <c r="W325" s="301" t="str">
        <f t="shared" si="52"/>
        <v>-</v>
      </c>
      <c r="X325" s="301" t="str">
        <f t="shared" si="53"/>
        <v>-</v>
      </c>
      <c r="Y325" s="301" t="str">
        <f t="shared" si="54"/>
        <v>-</v>
      </c>
    </row>
    <row r="326" spans="1:25" x14ac:dyDescent="0.25">
      <c r="A326" s="217">
        <f>'Состав ВТК'!B319</f>
        <v>0</v>
      </c>
      <c r="B326" s="290">
        <f>IFERROR(VLOOKUP($A326,Распределение!$B$13:$L$113,11,FALSE),"-")</f>
        <v>0</v>
      </c>
      <c r="C326" s="291" t="str">
        <f>IFERROR(IF(VLOOKUP($B326,Расценка!$H$3:$I$9,2,FALSE)="НС",Расценка!$T$11,Расценка!$T$12),"-")</f>
        <v>-</v>
      </c>
      <c r="D326" s="291">
        <f>IFERROR(INDEX(Распределение!$1:$1048576,MATCH($A326,Распределение!$B:$B,0),MATCH($D$8,Распределение!$9:$9,0)),"---")</f>
        <v>0</v>
      </c>
      <c r="E326" s="292">
        <f>IFERROR(SUMIFS('Трудозатраты членов ВТК'!$G$17:$G$117,'Трудозатраты членов ВТК'!$D$17:$D$117,A:A),"-")</f>
        <v>0</v>
      </c>
      <c r="F326" s="293">
        <f>IFERROR(SUMIFS('Трудозатраты членов ВТК'!$F$464:$F$713,'Трудозатраты членов ВТК'!$D$464:$D$713,A:A),"-")</f>
        <v>0</v>
      </c>
      <c r="G326" s="302"/>
      <c r="H326" s="295">
        <f t="shared" si="48"/>
        <v>0</v>
      </c>
      <c r="I326" s="296">
        <f>IFERROR(ROUND(IF('Состав ВТК'!$K319=справочник!$A$5,IF(AND('Расчет участников НИР'!$A326='Состав ВТК'!$B319,$I$10='Состав ВТК'!$I319),$F326*$D326*VLOOKUP('Расчет участников НИР'!$B326,Расценка!$C$3:$E$13,3,FALSE),0),0),2),"-")</f>
        <v>0</v>
      </c>
      <c r="J326" s="296">
        <f>IFERROR(ROUND(IF('Состав ВТК'!$K319=справочник!$A$5,IF(AND('Расчет участников НИР'!$A326='Состав ВТК'!$B319,$J$10='Состав ВТК'!$I319),$F326*$D326*VLOOKUP('Расчет участников НИР'!$B326,Расценка!$C$3:$E$13,3,FALSE),0),0),2),"-")</f>
        <v>0</v>
      </c>
      <c r="K326" s="296">
        <f>IFERROR(ROUND(IF('Состав ВТК'!$K319=справочник!$A$5,IF(AND('Расчет участников НИР'!$A326='Состав ВТК'!$B319,$K$10='Состав ВТК'!$I319),$F326*$D326*VLOOKUP('Расчет участников НИР'!$B326,Расценка!$C$3:$E$13,3,FALSE),0),0),2),"-")</f>
        <v>0</v>
      </c>
      <c r="L326" s="297"/>
      <c r="M326" s="295">
        <f t="shared" si="49"/>
        <v>0</v>
      </c>
      <c r="N326" s="298">
        <f>IFERROR(ROUND(IF('Состав ВТК'!$K319=справочник!$A$5,(IF(AND($A326='Состав ВТК'!$B319,$N$10=$C326),$F326*$D326*VLOOKUP($B326,Расценка!$H$3:$K$9,4,FALSE),0)),0),2),"-")</f>
        <v>0</v>
      </c>
      <c r="O326" s="298">
        <f>IFERROR(ROUND(IF('Состав ВТК'!$K319=справочник!$A$5,(IF(AND($A326='Состав ВТК'!$B319,$O$10=$C326),$F326*$D326*VLOOKUP($B326,Расценка!$H$3:$K$9,4,FALSE),0)),0),2),"-")</f>
        <v>0</v>
      </c>
      <c r="P326" s="299">
        <f t="shared" si="50"/>
        <v>0</v>
      </c>
      <c r="Q326" s="300">
        <f t="shared" si="46"/>
        <v>0</v>
      </c>
      <c r="R326" s="300">
        <f t="shared" si="47"/>
        <v>0</v>
      </c>
      <c r="S326" s="295">
        <f t="shared" si="51"/>
        <v>0</v>
      </c>
      <c r="T326" s="298">
        <f>IFERROR(ROUND(IF(AND('Расчет участников НИР'!$A326='Состав ВТК'!$B319,'Расчет участников НИР'!$T$10='Состав ВТК'!$I319),$E326,0),2),"-")</f>
        <v>0</v>
      </c>
      <c r="U326" s="298">
        <f>IFERROR(ROUND(IF(AND('Расчет участников НИР'!$A326='Состав ВТК'!$B319,'Расчет участников НИР'!$U$10='Состав ВТК'!$I319),$E326,0),2),"-")</f>
        <v>0</v>
      </c>
      <c r="V326" s="298">
        <f>IFERROR(ROUND(IF(AND('Расчет участников НИР'!$A326='Состав ВТК'!$B319,'Расчет участников НИР'!$V$10='Состав ВТК'!$I319),$E326,0),2),"-")</f>
        <v>0</v>
      </c>
      <c r="W326" s="301" t="str">
        <f t="shared" si="52"/>
        <v>-</v>
      </c>
      <c r="X326" s="301" t="str">
        <f t="shared" si="53"/>
        <v>-</v>
      </c>
      <c r="Y326" s="301" t="str">
        <f t="shared" si="54"/>
        <v>-</v>
      </c>
    </row>
    <row r="327" spans="1:25" x14ac:dyDescent="0.25">
      <c r="A327" s="217">
        <f>'Состав ВТК'!B320</f>
        <v>0</v>
      </c>
      <c r="B327" s="290">
        <f>IFERROR(VLOOKUP($A327,Распределение!$B$13:$L$113,11,FALSE),"-")</f>
        <v>0</v>
      </c>
      <c r="C327" s="291" t="str">
        <f>IFERROR(IF(VLOOKUP($B327,Расценка!$H$3:$I$9,2,FALSE)="НС",Расценка!$T$11,Расценка!$T$12),"-")</f>
        <v>-</v>
      </c>
      <c r="D327" s="291">
        <f>IFERROR(INDEX(Распределение!$1:$1048576,MATCH($A327,Распределение!$B:$B,0),MATCH($D$8,Распределение!$9:$9,0)),"---")</f>
        <v>0</v>
      </c>
      <c r="E327" s="292">
        <f>IFERROR(SUMIFS('Трудозатраты членов ВТК'!$G$17:$G$117,'Трудозатраты членов ВТК'!$D$17:$D$117,A:A),"-")</f>
        <v>0</v>
      </c>
      <c r="F327" s="293">
        <f>IFERROR(SUMIFS('Трудозатраты членов ВТК'!$F$464:$F$713,'Трудозатраты членов ВТК'!$D$464:$D$713,A:A),"-")</f>
        <v>0</v>
      </c>
      <c r="G327" s="302"/>
      <c r="H327" s="295">
        <f t="shared" si="48"/>
        <v>0</v>
      </c>
      <c r="I327" s="296">
        <f>IFERROR(ROUND(IF('Состав ВТК'!$K320=справочник!$A$5,IF(AND('Расчет участников НИР'!$A327='Состав ВТК'!$B320,$I$10='Состав ВТК'!$I320),$F327*$D327*VLOOKUP('Расчет участников НИР'!$B327,Расценка!$C$3:$E$13,3,FALSE),0),0),2),"-")</f>
        <v>0</v>
      </c>
      <c r="J327" s="296">
        <f>IFERROR(ROUND(IF('Состав ВТК'!$K320=справочник!$A$5,IF(AND('Расчет участников НИР'!$A327='Состав ВТК'!$B320,$J$10='Состав ВТК'!$I320),$F327*$D327*VLOOKUP('Расчет участников НИР'!$B327,Расценка!$C$3:$E$13,3,FALSE),0),0),2),"-")</f>
        <v>0</v>
      </c>
      <c r="K327" s="296">
        <f>IFERROR(ROUND(IF('Состав ВТК'!$K320=справочник!$A$5,IF(AND('Расчет участников НИР'!$A327='Состав ВТК'!$B320,$K$10='Состав ВТК'!$I320),$F327*$D327*VLOOKUP('Расчет участников НИР'!$B327,Расценка!$C$3:$E$13,3,FALSE),0),0),2),"-")</f>
        <v>0</v>
      </c>
      <c r="L327" s="297"/>
      <c r="M327" s="295">
        <f t="shared" si="49"/>
        <v>0</v>
      </c>
      <c r="N327" s="298">
        <f>IFERROR(ROUND(IF('Состав ВТК'!$K320=справочник!$A$5,(IF(AND($A327='Состав ВТК'!$B320,$N$10=$C327),$F327*$D327*VLOOKUP($B327,Расценка!$H$3:$K$9,4,FALSE),0)),0),2),"-")</f>
        <v>0</v>
      </c>
      <c r="O327" s="298">
        <f>IFERROR(ROUND(IF('Состав ВТК'!$K320=справочник!$A$5,(IF(AND($A327='Состав ВТК'!$B320,$O$10=$C327),$F327*$D327*VLOOKUP($B327,Расценка!$H$3:$K$9,4,FALSE),0)),0),2),"-")</f>
        <v>0</v>
      </c>
      <c r="P327" s="299">
        <f t="shared" si="50"/>
        <v>0</v>
      </c>
      <c r="Q327" s="300">
        <f t="shared" si="46"/>
        <v>0</v>
      </c>
      <c r="R327" s="300">
        <f t="shared" si="47"/>
        <v>0</v>
      </c>
      <c r="S327" s="295">
        <f t="shared" si="51"/>
        <v>0</v>
      </c>
      <c r="T327" s="298">
        <f>IFERROR(ROUND(IF(AND('Расчет участников НИР'!$A327='Состав ВТК'!$B320,'Расчет участников НИР'!$T$10='Состав ВТК'!$I320),$E327,0),2),"-")</f>
        <v>0</v>
      </c>
      <c r="U327" s="298">
        <f>IFERROR(ROUND(IF(AND('Расчет участников НИР'!$A327='Состав ВТК'!$B320,'Расчет участников НИР'!$U$10='Состав ВТК'!$I320),$E327,0),2),"-")</f>
        <v>0</v>
      </c>
      <c r="V327" s="298">
        <f>IFERROR(ROUND(IF(AND('Расчет участников НИР'!$A327='Состав ВТК'!$B320,'Расчет участников НИР'!$V$10='Состав ВТК'!$I320),$E327,0),2),"-")</f>
        <v>0</v>
      </c>
      <c r="W327" s="301" t="str">
        <f t="shared" si="52"/>
        <v>-</v>
      </c>
      <c r="X327" s="301" t="str">
        <f t="shared" si="53"/>
        <v>-</v>
      </c>
      <c r="Y327" s="301" t="str">
        <f t="shared" si="54"/>
        <v>-</v>
      </c>
    </row>
    <row r="328" spans="1:25" x14ac:dyDescent="0.25">
      <c r="A328" s="217">
        <f>'Состав ВТК'!B321</f>
        <v>0</v>
      </c>
      <c r="B328" s="290">
        <f>IFERROR(VLOOKUP($A328,Распределение!$B$13:$L$113,11,FALSE),"-")</f>
        <v>0</v>
      </c>
      <c r="C328" s="291" t="str">
        <f>IFERROR(IF(VLOOKUP($B328,Расценка!$H$3:$I$9,2,FALSE)="НС",Расценка!$T$11,Расценка!$T$12),"-")</f>
        <v>-</v>
      </c>
      <c r="D328" s="291">
        <f>IFERROR(INDEX(Распределение!$1:$1048576,MATCH($A328,Распределение!$B:$B,0),MATCH($D$8,Распределение!$9:$9,0)),"---")</f>
        <v>0</v>
      </c>
      <c r="E328" s="292">
        <f>IFERROR(SUMIFS('Трудозатраты членов ВТК'!$G$17:$G$117,'Трудозатраты членов ВТК'!$D$17:$D$117,A:A),"-")</f>
        <v>0</v>
      </c>
      <c r="F328" s="293">
        <f>IFERROR(SUMIFS('Трудозатраты членов ВТК'!$F$464:$F$713,'Трудозатраты членов ВТК'!$D$464:$D$713,A:A),"-")</f>
        <v>0</v>
      </c>
      <c r="G328" s="302"/>
      <c r="H328" s="295">
        <f t="shared" si="48"/>
        <v>0</v>
      </c>
      <c r="I328" s="296">
        <f>IFERROR(ROUND(IF('Состав ВТК'!$K321=справочник!$A$5,IF(AND('Расчет участников НИР'!$A328='Состав ВТК'!$B321,$I$10='Состав ВТК'!$I321),$F328*$D328*VLOOKUP('Расчет участников НИР'!$B328,Расценка!$C$3:$E$13,3,FALSE),0),0),2),"-")</f>
        <v>0</v>
      </c>
      <c r="J328" s="296">
        <f>IFERROR(ROUND(IF('Состав ВТК'!$K321=справочник!$A$5,IF(AND('Расчет участников НИР'!$A328='Состав ВТК'!$B321,$J$10='Состав ВТК'!$I321),$F328*$D328*VLOOKUP('Расчет участников НИР'!$B328,Расценка!$C$3:$E$13,3,FALSE),0),0),2),"-")</f>
        <v>0</v>
      </c>
      <c r="K328" s="296">
        <f>IFERROR(ROUND(IF('Состав ВТК'!$K321=справочник!$A$5,IF(AND('Расчет участников НИР'!$A328='Состав ВТК'!$B321,$K$10='Состав ВТК'!$I321),$F328*$D328*VLOOKUP('Расчет участников НИР'!$B328,Расценка!$C$3:$E$13,3,FALSE),0),0),2),"-")</f>
        <v>0</v>
      </c>
      <c r="L328" s="297"/>
      <c r="M328" s="295">
        <f t="shared" si="49"/>
        <v>0</v>
      </c>
      <c r="N328" s="298">
        <f>IFERROR(ROUND(IF('Состав ВТК'!$K321=справочник!$A$5,(IF(AND($A328='Состав ВТК'!$B321,$N$10=$C328),$F328*$D328*VLOOKUP($B328,Расценка!$H$3:$K$9,4,FALSE),0)),0),2),"-")</f>
        <v>0</v>
      </c>
      <c r="O328" s="298">
        <f>IFERROR(ROUND(IF('Состав ВТК'!$K321=справочник!$A$5,(IF(AND($A328='Состав ВТК'!$B321,$O$10=$C328),$F328*$D328*VLOOKUP($B328,Расценка!$H$3:$K$9,4,FALSE),0)),0),2),"-")</f>
        <v>0</v>
      </c>
      <c r="P328" s="299">
        <f t="shared" si="50"/>
        <v>0</v>
      </c>
      <c r="Q328" s="300">
        <f t="shared" si="46"/>
        <v>0</v>
      </c>
      <c r="R328" s="300">
        <f t="shared" si="47"/>
        <v>0</v>
      </c>
      <c r="S328" s="295">
        <f t="shared" si="51"/>
        <v>0</v>
      </c>
      <c r="T328" s="298">
        <f>IFERROR(ROUND(IF(AND('Расчет участников НИР'!$A328='Состав ВТК'!$B321,'Расчет участников НИР'!$T$10='Состав ВТК'!$I321),$E328,0),2),"-")</f>
        <v>0</v>
      </c>
      <c r="U328" s="298">
        <f>IFERROR(ROUND(IF(AND('Расчет участников НИР'!$A328='Состав ВТК'!$B321,'Расчет участников НИР'!$U$10='Состав ВТК'!$I321),$E328,0),2),"-")</f>
        <v>0</v>
      </c>
      <c r="V328" s="298">
        <f>IFERROR(ROUND(IF(AND('Расчет участников НИР'!$A328='Состав ВТК'!$B321,'Расчет участников НИР'!$V$10='Состав ВТК'!$I321),$E328,0),2),"-")</f>
        <v>0</v>
      </c>
      <c r="W328" s="301" t="str">
        <f t="shared" si="52"/>
        <v>-</v>
      </c>
      <c r="X328" s="301" t="str">
        <f t="shared" si="53"/>
        <v>-</v>
      </c>
      <c r="Y328" s="301" t="str">
        <f t="shared" si="54"/>
        <v>-</v>
      </c>
    </row>
    <row r="329" spans="1:25" x14ac:dyDescent="0.25">
      <c r="A329" s="217">
        <f>'Состав ВТК'!B322</f>
        <v>0</v>
      </c>
      <c r="B329" s="290">
        <f>IFERROR(VLOOKUP($A329,Распределение!$B$13:$L$113,11,FALSE),"-")</f>
        <v>0</v>
      </c>
      <c r="C329" s="291" t="str">
        <f>IFERROR(IF(VLOOKUP($B329,Расценка!$H$3:$I$9,2,FALSE)="НС",Расценка!$T$11,Расценка!$T$12),"-")</f>
        <v>-</v>
      </c>
      <c r="D329" s="291">
        <f>IFERROR(INDEX(Распределение!$1:$1048576,MATCH($A329,Распределение!$B:$B,0),MATCH($D$8,Распределение!$9:$9,0)),"---")</f>
        <v>0</v>
      </c>
      <c r="E329" s="292">
        <f>IFERROR(SUMIFS('Трудозатраты членов ВТК'!$G$17:$G$117,'Трудозатраты членов ВТК'!$D$17:$D$117,A:A),"-")</f>
        <v>0</v>
      </c>
      <c r="F329" s="293">
        <f>IFERROR(SUMIFS('Трудозатраты членов ВТК'!$F$464:$F$713,'Трудозатраты членов ВТК'!$D$464:$D$713,A:A),"-")</f>
        <v>0</v>
      </c>
      <c r="G329" s="302"/>
      <c r="H329" s="295">
        <f t="shared" si="48"/>
        <v>0</v>
      </c>
      <c r="I329" s="296">
        <f>IFERROR(ROUND(IF('Состав ВТК'!$K322=справочник!$A$5,IF(AND('Расчет участников НИР'!$A329='Состав ВТК'!$B322,$I$10='Состав ВТК'!$I322),$F329*$D329*VLOOKUP('Расчет участников НИР'!$B329,Расценка!$C$3:$E$13,3,FALSE),0),0),2),"-")</f>
        <v>0</v>
      </c>
      <c r="J329" s="296">
        <f>IFERROR(ROUND(IF('Состав ВТК'!$K322=справочник!$A$5,IF(AND('Расчет участников НИР'!$A329='Состав ВТК'!$B322,$J$10='Состав ВТК'!$I322),$F329*$D329*VLOOKUP('Расчет участников НИР'!$B329,Расценка!$C$3:$E$13,3,FALSE),0),0),2),"-")</f>
        <v>0</v>
      </c>
      <c r="K329" s="296">
        <f>IFERROR(ROUND(IF('Состав ВТК'!$K322=справочник!$A$5,IF(AND('Расчет участников НИР'!$A329='Состав ВТК'!$B322,$K$10='Состав ВТК'!$I322),$F329*$D329*VLOOKUP('Расчет участников НИР'!$B329,Расценка!$C$3:$E$13,3,FALSE),0),0),2),"-")</f>
        <v>0</v>
      </c>
      <c r="L329" s="297"/>
      <c r="M329" s="295">
        <f t="shared" si="49"/>
        <v>0</v>
      </c>
      <c r="N329" s="298">
        <f>IFERROR(ROUND(IF('Состав ВТК'!$K322=справочник!$A$5,(IF(AND($A329='Состав ВТК'!$B322,$N$10=$C329),$F329*$D329*VLOOKUP($B329,Расценка!$H$3:$K$9,4,FALSE),0)),0),2),"-")</f>
        <v>0</v>
      </c>
      <c r="O329" s="298">
        <f>IFERROR(ROUND(IF('Состав ВТК'!$K322=справочник!$A$5,(IF(AND($A329='Состав ВТК'!$B322,$O$10=$C329),$F329*$D329*VLOOKUP($B329,Расценка!$H$3:$K$9,4,FALSE),0)),0),2),"-")</f>
        <v>0</v>
      </c>
      <c r="P329" s="299">
        <f t="shared" si="50"/>
        <v>0</v>
      </c>
      <c r="Q329" s="300">
        <f t="shared" si="46"/>
        <v>0</v>
      </c>
      <c r="R329" s="300">
        <f t="shared" si="47"/>
        <v>0</v>
      </c>
      <c r="S329" s="295">
        <f t="shared" si="51"/>
        <v>0</v>
      </c>
      <c r="T329" s="298">
        <f>IFERROR(ROUND(IF(AND('Расчет участников НИР'!$A329='Состав ВТК'!$B322,'Расчет участников НИР'!$T$10='Состав ВТК'!$I322),$E329,0),2),"-")</f>
        <v>0</v>
      </c>
      <c r="U329" s="298">
        <f>IFERROR(ROUND(IF(AND('Расчет участников НИР'!$A329='Состав ВТК'!$B322,'Расчет участников НИР'!$U$10='Состав ВТК'!$I322),$E329,0),2),"-")</f>
        <v>0</v>
      </c>
      <c r="V329" s="298">
        <f>IFERROR(ROUND(IF(AND('Расчет участников НИР'!$A329='Состав ВТК'!$B322,'Расчет участников НИР'!$V$10='Состав ВТК'!$I322),$E329,0),2),"-")</f>
        <v>0</v>
      </c>
      <c r="W329" s="301" t="str">
        <f t="shared" si="52"/>
        <v>-</v>
      </c>
      <c r="X329" s="301" t="str">
        <f t="shared" si="53"/>
        <v>-</v>
      </c>
      <c r="Y329" s="301" t="str">
        <f t="shared" si="54"/>
        <v>-</v>
      </c>
    </row>
    <row r="330" spans="1:25" x14ac:dyDescent="0.25">
      <c r="A330" s="217">
        <f>'Состав ВТК'!B323</f>
        <v>0</v>
      </c>
      <c r="B330" s="290">
        <f>IFERROR(VLOOKUP($A330,Распределение!$B$13:$L$113,11,FALSE),"-")</f>
        <v>0</v>
      </c>
      <c r="C330" s="291" t="str">
        <f>IFERROR(IF(VLOOKUP($B330,Расценка!$H$3:$I$9,2,FALSE)="НС",Расценка!$T$11,Расценка!$T$12),"-")</f>
        <v>-</v>
      </c>
      <c r="D330" s="291">
        <f>IFERROR(INDEX(Распределение!$1:$1048576,MATCH($A330,Распределение!$B:$B,0),MATCH($D$8,Распределение!$9:$9,0)),"---")</f>
        <v>0</v>
      </c>
      <c r="E330" s="292">
        <f>IFERROR(SUMIFS('Трудозатраты членов ВТК'!$G$17:$G$117,'Трудозатраты членов ВТК'!$D$17:$D$117,A:A),"-")</f>
        <v>0</v>
      </c>
      <c r="F330" s="293">
        <f>IFERROR(SUMIFS('Трудозатраты членов ВТК'!$F$464:$F$713,'Трудозатраты членов ВТК'!$D$464:$D$713,A:A),"-")</f>
        <v>0</v>
      </c>
      <c r="G330" s="302"/>
      <c r="H330" s="295">
        <f t="shared" si="48"/>
        <v>0</v>
      </c>
      <c r="I330" s="296">
        <f>IFERROR(ROUND(IF('Состав ВТК'!$K323=справочник!$A$5,IF(AND('Расчет участников НИР'!$A330='Состав ВТК'!$B323,$I$10='Состав ВТК'!$I323),$F330*$D330*VLOOKUP('Расчет участников НИР'!$B330,Расценка!$C$3:$E$13,3,FALSE),0),0),2),"-")</f>
        <v>0</v>
      </c>
      <c r="J330" s="296">
        <f>IFERROR(ROUND(IF('Состав ВТК'!$K323=справочник!$A$5,IF(AND('Расчет участников НИР'!$A330='Состав ВТК'!$B323,$J$10='Состав ВТК'!$I323),$F330*$D330*VLOOKUP('Расчет участников НИР'!$B330,Расценка!$C$3:$E$13,3,FALSE),0),0),2),"-")</f>
        <v>0</v>
      </c>
      <c r="K330" s="296">
        <f>IFERROR(ROUND(IF('Состав ВТК'!$K323=справочник!$A$5,IF(AND('Расчет участников НИР'!$A330='Состав ВТК'!$B323,$K$10='Состав ВТК'!$I323),$F330*$D330*VLOOKUP('Расчет участников НИР'!$B330,Расценка!$C$3:$E$13,3,FALSE),0),0),2),"-")</f>
        <v>0</v>
      </c>
      <c r="L330" s="297"/>
      <c r="M330" s="295">
        <f t="shared" si="49"/>
        <v>0</v>
      </c>
      <c r="N330" s="298">
        <f>IFERROR(ROUND(IF('Состав ВТК'!$K323=справочник!$A$5,(IF(AND($A330='Состав ВТК'!$B323,$N$10=$C330),$F330*$D330*VLOOKUP($B330,Расценка!$H$3:$K$9,4,FALSE),0)),0),2),"-")</f>
        <v>0</v>
      </c>
      <c r="O330" s="298">
        <f>IFERROR(ROUND(IF('Состав ВТК'!$K323=справочник!$A$5,(IF(AND($A330='Состав ВТК'!$B323,$O$10=$C330),$F330*$D330*VLOOKUP($B330,Расценка!$H$3:$K$9,4,FALSE),0)),0),2),"-")</f>
        <v>0</v>
      </c>
      <c r="P330" s="299">
        <f t="shared" si="50"/>
        <v>0</v>
      </c>
      <c r="Q330" s="300">
        <f t="shared" si="46"/>
        <v>0</v>
      </c>
      <c r="R330" s="300">
        <f t="shared" si="47"/>
        <v>0</v>
      </c>
      <c r="S330" s="295">
        <f t="shared" si="51"/>
        <v>0</v>
      </c>
      <c r="T330" s="298">
        <f>IFERROR(ROUND(IF(AND('Расчет участников НИР'!$A330='Состав ВТК'!$B323,'Расчет участников НИР'!$T$10='Состав ВТК'!$I323),$E330,0),2),"-")</f>
        <v>0</v>
      </c>
      <c r="U330" s="298">
        <f>IFERROR(ROUND(IF(AND('Расчет участников НИР'!$A330='Состав ВТК'!$B323,'Расчет участников НИР'!$U$10='Состав ВТК'!$I323),$E330,0),2),"-")</f>
        <v>0</v>
      </c>
      <c r="V330" s="298">
        <f>IFERROR(ROUND(IF(AND('Расчет участников НИР'!$A330='Состав ВТК'!$B323,'Расчет участников НИР'!$V$10='Состав ВТК'!$I323),$E330,0),2),"-")</f>
        <v>0</v>
      </c>
      <c r="W330" s="301" t="str">
        <f t="shared" si="52"/>
        <v>-</v>
      </c>
      <c r="X330" s="301" t="str">
        <f t="shared" si="53"/>
        <v>-</v>
      </c>
      <c r="Y330" s="301" t="str">
        <f t="shared" si="54"/>
        <v>-</v>
      </c>
    </row>
    <row r="331" spans="1:25" x14ac:dyDescent="0.25">
      <c r="A331" s="217">
        <f>'Состав ВТК'!B324</f>
        <v>0</v>
      </c>
      <c r="B331" s="290">
        <f>IFERROR(VLOOKUP($A331,Распределение!$B$13:$L$113,11,FALSE),"-")</f>
        <v>0</v>
      </c>
      <c r="C331" s="291" t="str">
        <f>IFERROR(IF(VLOOKUP($B331,Расценка!$H$3:$I$9,2,FALSE)="НС",Расценка!$T$11,Расценка!$T$12),"-")</f>
        <v>-</v>
      </c>
      <c r="D331" s="291">
        <f>IFERROR(INDEX(Распределение!$1:$1048576,MATCH($A331,Распределение!$B:$B,0),MATCH($D$8,Распределение!$9:$9,0)),"---")</f>
        <v>0</v>
      </c>
      <c r="E331" s="292">
        <f>IFERROR(SUMIFS('Трудозатраты членов ВТК'!$G$17:$G$117,'Трудозатраты членов ВТК'!$D$17:$D$117,A:A),"-")</f>
        <v>0</v>
      </c>
      <c r="F331" s="293">
        <f>IFERROR(SUMIFS('Трудозатраты членов ВТК'!$F$464:$F$713,'Трудозатраты членов ВТК'!$D$464:$D$713,A:A),"-")</f>
        <v>0</v>
      </c>
      <c r="G331" s="302"/>
      <c r="H331" s="295">
        <f t="shared" si="48"/>
        <v>0</v>
      </c>
      <c r="I331" s="296">
        <f>IFERROR(ROUND(IF('Состав ВТК'!$K324=справочник!$A$5,IF(AND('Расчет участников НИР'!$A331='Состав ВТК'!$B324,$I$10='Состав ВТК'!$I324),$F331*$D331*VLOOKUP('Расчет участников НИР'!$B331,Расценка!$C$3:$E$13,3,FALSE),0),0),2),"-")</f>
        <v>0</v>
      </c>
      <c r="J331" s="296">
        <f>IFERROR(ROUND(IF('Состав ВТК'!$K324=справочник!$A$5,IF(AND('Расчет участников НИР'!$A331='Состав ВТК'!$B324,$J$10='Состав ВТК'!$I324),$F331*$D331*VLOOKUP('Расчет участников НИР'!$B331,Расценка!$C$3:$E$13,3,FALSE),0),0),2),"-")</f>
        <v>0</v>
      </c>
      <c r="K331" s="296">
        <f>IFERROR(ROUND(IF('Состав ВТК'!$K324=справочник!$A$5,IF(AND('Расчет участников НИР'!$A331='Состав ВТК'!$B324,$K$10='Состав ВТК'!$I324),$F331*$D331*VLOOKUP('Расчет участников НИР'!$B331,Расценка!$C$3:$E$13,3,FALSE),0),0),2),"-")</f>
        <v>0</v>
      </c>
      <c r="L331" s="297"/>
      <c r="M331" s="295">
        <f t="shared" si="49"/>
        <v>0</v>
      </c>
      <c r="N331" s="298">
        <f>IFERROR(ROUND(IF('Состав ВТК'!$K324=справочник!$A$5,(IF(AND($A331='Состав ВТК'!$B324,$N$10=$C331),$F331*$D331*VLOOKUP($B331,Расценка!$H$3:$K$9,4,FALSE),0)),0),2),"-")</f>
        <v>0</v>
      </c>
      <c r="O331" s="298">
        <f>IFERROR(ROUND(IF('Состав ВТК'!$K324=справочник!$A$5,(IF(AND($A331='Состав ВТК'!$B324,$O$10=$C331),$F331*$D331*VLOOKUP($B331,Расценка!$H$3:$K$9,4,FALSE),0)),0),2),"-")</f>
        <v>0</v>
      </c>
      <c r="P331" s="299">
        <f t="shared" si="50"/>
        <v>0</v>
      </c>
      <c r="Q331" s="300">
        <f t="shared" si="46"/>
        <v>0</v>
      </c>
      <c r="R331" s="300">
        <f t="shared" si="47"/>
        <v>0</v>
      </c>
      <c r="S331" s="295">
        <f t="shared" si="51"/>
        <v>0</v>
      </c>
      <c r="T331" s="298">
        <f>IFERROR(ROUND(IF(AND('Расчет участников НИР'!$A331='Состав ВТК'!$B324,'Расчет участников НИР'!$T$10='Состав ВТК'!$I324),$E331,0),2),"-")</f>
        <v>0</v>
      </c>
      <c r="U331" s="298">
        <f>IFERROR(ROUND(IF(AND('Расчет участников НИР'!$A331='Состав ВТК'!$B324,'Расчет участников НИР'!$U$10='Состав ВТК'!$I324),$E331,0),2),"-")</f>
        <v>0</v>
      </c>
      <c r="V331" s="298">
        <f>IFERROR(ROUND(IF(AND('Расчет участников НИР'!$A331='Состав ВТК'!$B324,'Расчет участников НИР'!$V$10='Состав ВТК'!$I324),$E331,0),2),"-")</f>
        <v>0</v>
      </c>
      <c r="W331" s="301" t="str">
        <f t="shared" si="52"/>
        <v>-</v>
      </c>
      <c r="X331" s="301" t="str">
        <f t="shared" si="53"/>
        <v>-</v>
      </c>
      <c r="Y331" s="301" t="str">
        <f t="shared" si="54"/>
        <v>-</v>
      </c>
    </row>
    <row r="332" spans="1:25" x14ac:dyDescent="0.25">
      <c r="A332" s="217">
        <f>'Состав ВТК'!B325</f>
        <v>0</v>
      </c>
      <c r="B332" s="290">
        <f>IFERROR(VLOOKUP($A332,Распределение!$B$13:$L$113,11,FALSE),"-")</f>
        <v>0</v>
      </c>
      <c r="C332" s="291" t="str">
        <f>IFERROR(IF(VLOOKUP($B332,Расценка!$H$3:$I$9,2,FALSE)="НС",Расценка!$T$11,Расценка!$T$12),"-")</f>
        <v>-</v>
      </c>
      <c r="D332" s="291">
        <f>IFERROR(INDEX(Распределение!$1:$1048576,MATCH($A332,Распределение!$B:$B,0),MATCH($D$8,Распределение!$9:$9,0)),"---")</f>
        <v>0</v>
      </c>
      <c r="E332" s="292">
        <f>IFERROR(SUMIFS('Трудозатраты членов ВТК'!$G$17:$G$117,'Трудозатраты членов ВТК'!$D$17:$D$117,A:A),"-")</f>
        <v>0</v>
      </c>
      <c r="F332" s="293">
        <f>IFERROR(SUMIFS('Трудозатраты членов ВТК'!$F$464:$F$713,'Трудозатраты членов ВТК'!$D$464:$D$713,A:A),"-")</f>
        <v>0</v>
      </c>
      <c r="G332" s="302"/>
      <c r="H332" s="295">
        <f t="shared" si="48"/>
        <v>0</v>
      </c>
      <c r="I332" s="296">
        <f>IFERROR(ROUND(IF('Состав ВТК'!$K325=справочник!$A$5,IF(AND('Расчет участников НИР'!$A332='Состав ВТК'!$B325,$I$10='Состав ВТК'!$I325),$F332*$D332*VLOOKUP('Расчет участников НИР'!$B332,Расценка!$C$3:$E$13,3,FALSE),0),0),2),"-")</f>
        <v>0</v>
      </c>
      <c r="J332" s="296">
        <f>IFERROR(ROUND(IF('Состав ВТК'!$K325=справочник!$A$5,IF(AND('Расчет участников НИР'!$A332='Состав ВТК'!$B325,$J$10='Состав ВТК'!$I325),$F332*$D332*VLOOKUP('Расчет участников НИР'!$B332,Расценка!$C$3:$E$13,3,FALSE),0),0),2),"-")</f>
        <v>0</v>
      </c>
      <c r="K332" s="296">
        <f>IFERROR(ROUND(IF('Состав ВТК'!$K325=справочник!$A$5,IF(AND('Расчет участников НИР'!$A332='Состав ВТК'!$B325,$K$10='Состав ВТК'!$I325),$F332*$D332*VLOOKUP('Расчет участников НИР'!$B332,Расценка!$C$3:$E$13,3,FALSE),0),0),2),"-")</f>
        <v>0</v>
      </c>
      <c r="L332" s="297"/>
      <c r="M332" s="295">
        <f t="shared" si="49"/>
        <v>0</v>
      </c>
      <c r="N332" s="298">
        <f>IFERROR(ROUND(IF('Состав ВТК'!$K325=справочник!$A$5,(IF(AND($A332='Состав ВТК'!$B325,$N$10=$C332),$F332*$D332*VLOOKUP($B332,Расценка!$H$3:$K$9,4,FALSE),0)),0),2),"-")</f>
        <v>0</v>
      </c>
      <c r="O332" s="298">
        <f>IFERROR(ROUND(IF('Состав ВТК'!$K325=справочник!$A$5,(IF(AND($A332='Состав ВТК'!$B325,$O$10=$C332),$F332*$D332*VLOOKUP($B332,Расценка!$H$3:$K$9,4,FALSE),0)),0),2),"-")</f>
        <v>0</v>
      </c>
      <c r="P332" s="299">
        <f t="shared" si="50"/>
        <v>0</v>
      </c>
      <c r="Q332" s="300">
        <f t="shared" si="46"/>
        <v>0</v>
      </c>
      <c r="R332" s="300">
        <f t="shared" si="47"/>
        <v>0</v>
      </c>
      <c r="S332" s="295">
        <f t="shared" si="51"/>
        <v>0</v>
      </c>
      <c r="T332" s="298">
        <f>IFERROR(ROUND(IF(AND('Расчет участников НИР'!$A332='Состав ВТК'!$B325,'Расчет участников НИР'!$T$10='Состав ВТК'!$I325),$E332,0),2),"-")</f>
        <v>0</v>
      </c>
      <c r="U332" s="298">
        <f>IFERROR(ROUND(IF(AND('Расчет участников НИР'!$A332='Состав ВТК'!$B325,'Расчет участников НИР'!$U$10='Состав ВТК'!$I325),$E332,0),2),"-")</f>
        <v>0</v>
      </c>
      <c r="V332" s="298">
        <f>IFERROR(ROUND(IF(AND('Расчет участников НИР'!$A332='Состав ВТК'!$B325,'Расчет участников НИР'!$V$10='Состав ВТК'!$I325),$E332,0),2),"-")</f>
        <v>0</v>
      </c>
      <c r="W332" s="301" t="str">
        <f t="shared" si="52"/>
        <v>-</v>
      </c>
      <c r="X332" s="301" t="str">
        <f t="shared" si="53"/>
        <v>-</v>
      </c>
      <c r="Y332" s="301" t="str">
        <f t="shared" si="54"/>
        <v>-</v>
      </c>
    </row>
    <row r="333" spans="1:25" x14ac:dyDescent="0.25">
      <c r="A333" s="217">
        <f>'Состав ВТК'!B326</f>
        <v>0</v>
      </c>
      <c r="B333" s="290">
        <f>IFERROR(VLOOKUP($A333,Распределение!$B$13:$L$113,11,FALSE),"-")</f>
        <v>0</v>
      </c>
      <c r="C333" s="291" t="str">
        <f>IFERROR(IF(VLOOKUP($B333,Расценка!$H$3:$I$9,2,FALSE)="НС",Расценка!$T$11,Расценка!$T$12),"-")</f>
        <v>-</v>
      </c>
      <c r="D333" s="291">
        <f>IFERROR(INDEX(Распределение!$1:$1048576,MATCH($A333,Распределение!$B:$B,0),MATCH($D$8,Распределение!$9:$9,0)),"---")</f>
        <v>0</v>
      </c>
      <c r="E333" s="292">
        <f>IFERROR(SUMIFS('Трудозатраты членов ВТК'!$G$17:$G$117,'Трудозатраты членов ВТК'!$D$17:$D$117,A:A),"-")</f>
        <v>0</v>
      </c>
      <c r="F333" s="293">
        <f>IFERROR(SUMIFS('Трудозатраты членов ВТК'!$F$464:$F$713,'Трудозатраты членов ВТК'!$D$464:$D$713,A:A),"-")</f>
        <v>0</v>
      </c>
      <c r="G333" s="302"/>
      <c r="H333" s="295">
        <f t="shared" si="48"/>
        <v>0</v>
      </c>
      <c r="I333" s="296">
        <f>IFERROR(ROUND(IF('Состав ВТК'!$K326=справочник!$A$5,IF(AND('Расчет участников НИР'!$A333='Состав ВТК'!$B326,$I$10='Состав ВТК'!$I326),$F333*$D333*VLOOKUP('Расчет участников НИР'!$B333,Расценка!$C$3:$E$13,3,FALSE),0),0),2),"-")</f>
        <v>0</v>
      </c>
      <c r="J333" s="296">
        <f>IFERROR(ROUND(IF('Состав ВТК'!$K326=справочник!$A$5,IF(AND('Расчет участников НИР'!$A333='Состав ВТК'!$B326,$J$10='Состав ВТК'!$I326),$F333*$D333*VLOOKUP('Расчет участников НИР'!$B333,Расценка!$C$3:$E$13,3,FALSE),0),0),2),"-")</f>
        <v>0</v>
      </c>
      <c r="K333" s="296">
        <f>IFERROR(ROUND(IF('Состав ВТК'!$K326=справочник!$A$5,IF(AND('Расчет участников НИР'!$A333='Состав ВТК'!$B326,$K$10='Состав ВТК'!$I326),$F333*$D333*VLOOKUP('Расчет участников НИР'!$B333,Расценка!$C$3:$E$13,3,FALSE),0),0),2),"-")</f>
        <v>0</v>
      </c>
      <c r="L333" s="297"/>
      <c r="M333" s="295">
        <f t="shared" si="49"/>
        <v>0</v>
      </c>
      <c r="N333" s="298">
        <f>IFERROR(ROUND(IF('Состав ВТК'!$K326=справочник!$A$5,(IF(AND($A333='Состав ВТК'!$B326,$N$10=$C333),$F333*$D333*VLOOKUP($B333,Расценка!$H$3:$K$9,4,FALSE),0)),0),2),"-")</f>
        <v>0</v>
      </c>
      <c r="O333" s="298">
        <f>IFERROR(ROUND(IF('Состав ВТК'!$K326=справочник!$A$5,(IF(AND($A333='Состав ВТК'!$B326,$O$10=$C333),$F333*$D333*VLOOKUP($B333,Расценка!$H$3:$K$9,4,FALSE),0)),0),2),"-")</f>
        <v>0</v>
      </c>
      <c r="P333" s="299">
        <f t="shared" si="50"/>
        <v>0</v>
      </c>
      <c r="Q333" s="300">
        <f t="shared" si="46"/>
        <v>0</v>
      </c>
      <c r="R333" s="300">
        <f t="shared" si="47"/>
        <v>0</v>
      </c>
      <c r="S333" s="295">
        <f t="shared" si="51"/>
        <v>0</v>
      </c>
      <c r="T333" s="298">
        <f>IFERROR(ROUND(IF(AND('Расчет участников НИР'!$A333='Состав ВТК'!$B326,'Расчет участников НИР'!$T$10='Состав ВТК'!$I326),$E333,0),2),"-")</f>
        <v>0</v>
      </c>
      <c r="U333" s="298">
        <f>IFERROR(ROUND(IF(AND('Расчет участников НИР'!$A333='Состав ВТК'!$B326,'Расчет участников НИР'!$U$10='Состав ВТК'!$I326),$E333,0),2),"-")</f>
        <v>0</v>
      </c>
      <c r="V333" s="298">
        <f>IFERROR(ROUND(IF(AND('Расчет участников НИР'!$A333='Состав ВТК'!$B326,'Расчет участников НИР'!$V$10='Состав ВТК'!$I326),$E333,0),2),"-")</f>
        <v>0</v>
      </c>
      <c r="W333" s="301" t="str">
        <f t="shared" si="52"/>
        <v>-</v>
      </c>
      <c r="X333" s="301" t="str">
        <f t="shared" si="53"/>
        <v>-</v>
      </c>
      <c r="Y333" s="301" t="str">
        <f t="shared" si="54"/>
        <v>-</v>
      </c>
    </row>
    <row r="334" spans="1:25" x14ac:dyDescent="0.25">
      <c r="A334" s="217">
        <f>'Состав ВТК'!B327</f>
        <v>0</v>
      </c>
      <c r="B334" s="290">
        <f>IFERROR(VLOOKUP($A334,Распределение!$B$13:$L$113,11,FALSE),"-")</f>
        <v>0</v>
      </c>
      <c r="C334" s="291" t="str">
        <f>IFERROR(IF(VLOOKUP($B334,Расценка!$H$3:$I$9,2,FALSE)="НС",Расценка!$T$11,Расценка!$T$12),"-")</f>
        <v>-</v>
      </c>
      <c r="D334" s="291">
        <f>IFERROR(INDEX(Распределение!$1:$1048576,MATCH($A334,Распределение!$B:$B,0),MATCH($D$8,Распределение!$9:$9,0)),"---")</f>
        <v>0</v>
      </c>
      <c r="E334" s="292">
        <f>IFERROR(SUMIFS('Трудозатраты членов ВТК'!$G$17:$G$117,'Трудозатраты членов ВТК'!$D$17:$D$117,A:A),"-")</f>
        <v>0</v>
      </c>
      <c r="F334" s="293">
        <f>IFERROR(SUMIFS('Трудозатраты членов ВТК'!$F$464:$F$713,'Трудозатраты членов ВТК'!$D$464:$D$713,A:A),"-")</f>
        <v>0</v>
      </c>
      <c r="G334" s="302"/>
      <c r="H334" s="295">
        <f t="shared" si="48"/>
        <v>0</v>
      </c>
      <c r="I334" s="296">
        <f>IFERROR(ROUND(IF('Состав ВТК'!$K327=справочник!$A$5,IF(AND('Расчет участников НИР'!$A334='Состав ВТК'!$B327,$I$10='Состав ВТК'!$I327),$F334*$D334*VLOOKUP('Расчет участников НИР'!$B334,Расценка!$C$3:$E$13,3,FALSE),0),0),2),"-")</f>
        <v>0</v>
      </c>
      <c r="J334" s="296">
        <f>IFERROR(ROUND(IF('Состав ВТК'!$K327=справочник!$A$5,IF(AND('Расчет участников НИР'!$A334='Состав ВТК'!$B327,$J$10='Состав ВТК'!$I327),$F334*$D334*VLOOKUP('Расчет участников НИР'!$B334,Расценка!$C$3:$E$13,3,FALSE),0),0),2),"-")</f>
        <v>0</v>
      </c>
      <c r="K334" s="296">
        <f>IFERROR(ROUND(IF('Состав ВТК'!$K327=справочник!$A$5,IF(AND('Расчет участников НИР'!$A334='Состав ВТК'!$B327,$K$10='Состав ВТК'!$I327),$F334*$D334*VLOOKUP('Расчет участников НИР'!$B334,Расценка!$C$3:$E$13,3,FALSE),0),0),2),"-")</f>
        <v>0</v>
      </c>
      <c r="L334" s="297"/>
      <c r="M334" s="295">
        <f t="shared" si="49"/>
        <v>0</v>
      </c>
      <c r="N334" s="298">
        <f>IFERROR(ROUND(IF('Состав ВТК'!$K327=справочник!$A$5,(IF(AND($A334='Состав ВТК'!$B327,$N$10=$C334),$F334*$D334*VLOOKUP($B334,Расценка!$H$3:$K$9,4,FALSE),0)),0),2),"-")</f>
        <v>0</v>
      </c>
      <c r="O334" s="298">
        <f>IFERROR(ROUND(IF('Состав ВТК'!$K327=справочник!$A$5,(IF(AND($A334='Состав ВТК'!$B327,$O$10=$C334),$F334*$D334*VLOOKUP($B334,Расценка!$H$3:$K$9,4,FALSE),0)),0),2),"-")</f>
        <v>0</v>
      </c>
      <c r="P334" s="299">
        <f t="shared" si="50"/>
        <v>0</v>
      </c>
      <c r="Q334" s="300">
        <f t="shared" si="46"/>
        <v>0</v>
      </c>
      <c r="R334" s="300">
        <f t="shared" si="47"/>
        <v>0</v>
      </c>
      <c r="S334" s="295">
        <f t="shared" si="51"/>
        <v>0</v>
      </c>
      <c r="T334" s="298">
        <f>IFERROR(ROUND(IF(AND('Расчет участников НИР'!$A334='Состав ВТК'!$B327,'Расчет участников НИР'!$T$10='Состав ВТК'!$I327),$E334,0),2),"-")</f>
        <v>0</v>
      </c>
      <c r="U334" s="298">
        <f>IFERROR(ROUND(IF(AND('Расчет участников НИР'!$A334='Состав ВТК'!$B327,'Расчет участников НИР'!$U$10='Состав ВТК'!$I327),$E334,0),2),"-")</f>
        <v>0</v>
      </c>
      <c r="V334" s="298">
        <f>IFERROR(ROUND(IF(AND('Расчет участников НИР'!$A334='Состав ВТК'!$B327,'Расчет участников НИР'!$V$10='Состав ВТК'!$I327),$E334,0),2),"-")</f>
        <v>0</v>
      </c>
      <c r="W334" s="301" t="str">
        <f t="shared" si="52"/>
        <v>-</v>
      </c>
      <c r="X334" s="301" t="str">
        <f t="shared" si="53"/>
        <v>-</v>
      </c>
      <c r="Y334" s="301" t="str">
        <f t="shared" si="54"/>
        <v>-</v>
      </c>
    </row>
    <row r="335" spans="1:25" x14ac:dyDescent="0.25">
      <c r="A335" s="217">
        <f>'Состав ВТК'!B328</f>
        <v>0</v>
      </c>
      <c r="B335" s="290">
        <f>IFERROR(VLOOKUP($A335,Распределение!$B$13:$L$113,11,FALSE),"-")</f>
        <v>0</v>
      </c>
      <c r="C335" s="291" t="str">
        <f>IFERROR(IF(VLOOKUP($B335,Расценка!$H$3:$I$9,2,FALSE)="НС",Расценка!$T$11,Расценка!$T$12),"-")</f>
        <v>-</v>
      </c>
      <c r="D335" s="291">
        <f>IFERROR(INDEX(Распределение!$1:$1048576,MATCH($A335,Распределение!$B:$B,0),MATCH($D$8,Распределение!$9:$9,0)),"---")</f>
        <v>0</v>
      </c>
      <c r="E335" s="292">
        <f>IFERROR(SUMIFS('Трудозатраты членов ВТК'!$G$17:$G$117,'Трудозатраты членов ВТК'!$D$17:$D$117,A:A),"-")</f>
        <v>0</v>
      </c>
      <c r="F335" s="293">
        <f>IFERROR(SUMIFS('Трудозатраты членов ВТК'!$F$464:$F$713,'Трудозатраты членов ВТК'!$D$464:$D$713,A:A),"-")</f>
        <v>0</v>
      </c>
      <c r="G335" s="302"/>
      <c r="H335" s="295">
        <f t="shared" si="48"/>
        <v>0</v>
      </c>
      <c r="I335" s="296">
        <f>IFERROR(ROUND(IF('Состав ВТК'!$K328=справочник!$A$5,IF(AND('Расчет участников НИР'!$A335='Состав ВТК'!$B328,$I$10='Состав ВТК'!$I328),$F335*$D335*VLOOKUP('Расчет участников НИР'!$B335,Расценка!$C$3:$E$13,3,FALSE),0),0),2),"-")</f>
        <v>0</v>
      </c>
      <c r="J335" s="296">
        <f>IFERROR(ROUND(IF('Состав ВТК'!$K328=справочник!$A$5,IF(AND('Расчет участников НИР'!$A335='Состав ВТК'!$B328,$J$10='Состав ВТК'!$I328),$F335*$D335*VLOOKUP('Расчет участников НИР'!$B335,Расценка!$C$3:$E$13,3,FALSE),0),0),2),"-")</f>
        <v>0</v>
      </c>
      <c r="K335" s="296">
        <f>IFERROR(ROUND(IF('Состав ВТК'!$K328=справочник!$A$5,IF(AND('Расчет участников НИР'!$A335='Состав ВТК'!$B328,$K$10='Состав ВТК'!$I328),$F335*$D335*VLOOKUP('Расчет участников НИР'!$B335,Расценка!$C$3:$E$13,3,FALSE),0),0),2),"-")</f>
        <v>0</v>
      </c>
      <c r="L335" s="297"/>
      <c r="M335" s="295">
        <f t="shared" si="49"/>
        <v>0</v>
      </c>
      <c r="N335" s="298">
        <f>IFERROR(ROUND(IF('Состав ВТК'!$K328=справочник!$A$5,(IF(AND($A335='Состав ВТК'!$B328,$N$10=$C335),$F335*$D335*VLOOKUP($B335,Расценка!$H$3:$K$9,4,FALSE),0)),0),2),"-")</f>
        <v>0</v>
      </c>
      <c r="O335" s="298">
        <f>IFERROR(ROUND(IF('Состав ВТК'!$K328=справочник!$A$5,(IF(AND($A335='Состав ВТК'!$B328,$O$10=$C335),$F335*$D335*VLOOKUP($B335,Расценка!$H$3:$K$9,4,FALSE),0)),0),2),"-")</f>
        <v>0</v>
      </c>
      <c r="P335" s="299">
        <f t="shared" si="50"/>
        <v>0</v>
      </c>
      <c r="Q335" s="300">
        <f t="shared" si="46"/>
        <v>0</v>
      </c>
      <c r="R335" s="300">
        <f t="shared" si="47"/>
        <v>0</v>
      </c>
      <c r="S335" s="295">
        <f t="shared" si="51"/>
        <v>0</v>
      </c>
      <c r="T335" s="298">
        <f>IFERROR(ROUND(IF(AND('Расчет участников НИР'!$A335='Состав ВТК'!$B328,'Расчет участников НИР'!$T$10='Состав ВТК'!$I328),$E335,0),2),"-")</f>
        <v>0</v>
      </c>
      <c r="U335" s="298">
        <f>IFERROR(ROUND(IF(AND('Расчет участников НИР'!$A335='Состав ВТК'!$B328,'Расчет участников НИР'!$U$10='Состав ВТК'!$I328),$E335,0),2),"-")</f>
        <v>0</v>
      </c>
      <c r="V335" s="298">
        <f>IFERROR(ROUND(IF(AND('Расчет участников НИР'!$A335='Состав ВТК'!$B328,'Расчет участников НИР'!$V$10='Состав ВТК'!$I328),$E335,0),2),"-")</f>
        <v>0</v>
      </c>
      <c r="W335" s="301" t="str">
        <f t="shared" si="52"/>
        <v>-</v>
      </c>
      <c r="X335" s="301" t="str">
        <f t="shared" si="53"/>
        <v>-</v>
      </c>
      <c r="Y335" s="301" t="str">
        <f t="shared" si="54"/>
        <v>-</v>
      </c>
    </row>
    <row r="336" spans="1:25" x14ac:dyDescent="0.25">
      <c r="A336" s="217">
        <f>'Состав ВТК'!B329</f>
        <v>0</v>
      </c>
      <c r="B336" s="290">
        <f>IFERROR(VLOOKUP($A336,Распределение!$B$13:$L$113,11,FALSE),"-")</f>
        <v>0</v>
      </c>
      <c r="C336" s="291" t="str">
        <f>IFERROR(IF(VLOOKUP($B336,Расценка!$H$3:$I$9,2,FALSE)="НС",Расценка!$T$11,Расценка!$T$12),"-")</f>
        <v>-</v>
      </c>
      <c r="D336" s="291">
        <f>IFERROR(INDEX(Распределение!$1:$1048576,MATCH($A336,Распределение!$B:$B,0),MATCH($D$8,Распределение!$9:$9,0)),"---")</f>
        <v>0</v>
      </c>
      <c r="E336" s="292">
        <f>IFERROR(SUMIFS('Трудозатраты членов ВТК'!$G$17:$G$117,'Трудозатраты членов ВТК'!$D$17:$D$117,A:A),"-")</f>
        <v>0</v>
      </c>
      <c r="F336" s="293">
        <f>IFERROR(SUMIFS('Трудозатраты членов ВТК'!$F$464:$F$713,'Трудозатраты членов ВТК'!$D$464:$D$713,A:A),"-")</f>
        <v>0</v>
      </c>
      <c r="G336" s="302"/>
      <c r="H336" s="295">
        <f t="shared" si="48"/>
        <v>0</v>
      </c>
      <c r="I336" s="296">
        <f>IFERROR(ROUND(IF('Состав ВТК'!$K329=справочник!$A$5,IF(AND('Расчет участников НИР'!$A336='Состав ВТК'!$B329,$I$10='Состав ВТК'!$I329),$F336*$D336*VLOOKUP('Расчет участников НИР'!$B336,Расценка!$C$3:$E$13,3,FALSE),0),0),2),"-")</f>
        <v>0</v>
      </c>
      <c r="J336" s="296">
        <f>IFERROR(ROUND(IF('Состав ВТК'!$K329=справочник!$A$5,IF(AND('Расчет участников НИР'!$A336='Состав ВТК'!$B329,$J$10='Состав ВТК'!$I329),$F336*$D336*VLOOKUP('Расчет участников НИР'!$B336,Расценка!$C$3:$E$13,3,FALSE),0),0),2),"-")</f>
        <v>0</v>
      </c>
      <c r="K336" s="296">
        <f>IFERROR(ROUND(IF('Состав ВТК'!$K329=справочник!$A$5,IF(AND('Расчет участников НИР'!$A336='Состав ВТК'!$B329,$K$10='Состав ВТК'!$I329),$F336*$D336*VLOOKUP('Расчет участников НИР'!$B336,Расценка!$C$3:$E$13,3,FALSE),0),0),2),"-")</f>
        <v>0</v>
      </c>
      <c r="L336" s="297"/>
      <c r="M336" s="295">
        <f t="shared" si="49"/>
        <v>0</v>
      </c>
      <c r="N336" s="298">
        <f>IFERROR(ROUND(IF('Состав ВТК'!$K329=справочник!$A$5,(IF(AND($A336='Состав ВТК'!$B329,$N$10=$C336),$F336*$D336*VLOOKUP($B336,Расценка!$H$3:$K$9,4,FALSE),0)),0),2),"-")</f>
        <v>0</v>
      </c>
      <c r="O336" s="298">
        <f>IFERROR(ROUND(IF('Состав ВТК'!$K329=справочник!$A$5,(IF(AND($A336='Состав ВТК'!$B329,$O$10=$C336),$F336*$D336*VLOOKUP($B336,Расценка!$H$3:$K$9,4,FALSE),0)),0),2),"-")</f>
        <v>0</v>
      </c>
      <c r="P336" s="299">
        <f t="shared" si="50"/>
        <v>0</v>
      </c>
      <c r="Q336" s="300">
        <f t="shared" si="46"/>
        <v>0</v>
      </c>
      <c r="R336" s="300">
        <f t="shared" si="47"/>
        <v>0</v>
      </c>
      <c r="S336" s="295">
        <f t="shared" si="51"/>
        <v>0</v>
      </c>
      <c r="T336" s="298">
        <f>IFERROR(ROUND(IF(AND('Расчет участников НИР'!$A336='Состав ВТК'!$B329,'Расчет участников НИР'!$T$10='Состав ВТК'!$I329),$E336,0),2),"-")</f>
        <v>0</v>
      </c>
      <c r="U336" s="298">
        <f>IFERROR(ROUND(IF(AND('Расчет участников НИР'!$A336='Состав ВТК'!$B329,'Расчет участников НИР'!$U$10='Состав ВТК'!$I329),$E336,0),2),"-")</f>
        <v>0</v>
      </c>
      <c r="V336" s="298">
        <f>IFERROR(ROUND(IF(AND('Расчет участников НИР'!$A336='Состав ВТК'!$B329,'Расчет участников НИР'!$V$10='Состав ВТК'!$I329),$E336,0),2),"-")</f>
        <v>0</v>
      </c>
      <c r="W336" s="301" t="str">
        <f t="shared" si="52"/>
        <v>-</v>
      </c>
      <c r="X336" s="301" t="str">
        <f t="shared" si="53"/>
        <v>-</v>
      </c>
      <c r="Y336" s="301" t="str">
        <f t="shared" si="54"/>
        <v>-</v>
      </c>
    </row>
    <row r="337" spans="1:25" x14ac:dyDescent="0.25">
      <c r="A337" s="217">
        <f>'Состав ВТК'!B330</f>
        <v>0</v>
      </c>
      <c r="B337" s="290">
        <f>IFERROR(VLOOKUP($A337,Распределение!$B$13:$L$113,11,FALSE),"-")</f>
        <v>0</v>
      </c>
      <c r="C337" s="291" t="str">
        <f>IFERROR(IF(VLOOKUP($B337,Расценка!$H$3:$I$9,2,FALSE)="НС",Расценка!$T$11,Расценка!$T$12),"-")</f>
        <v>-</v>
      </c>
      <c r="D337" s="291">
        <f>IFERROR(INDEX(Распределение!$1:$1048576,MATCH($A337,Распределение!$B:$B,0),MATCH($D$8,Распределение!$9:$9,0)),"---")</f>
        <v>0</v>
      </c>
      <c r="E337" s="292">
        <f>IFERROR(SUMIFS('Трудозатраты членов ВТК'!$G$17:$G$117,'Трудозатраты членов ВТК'!$D$17:$D$117,A:A),"-")</f>
        <v>0</v>
      </c>
      <c r="F337" s="293">
        <f>IFERROR(SUMIFS('Трудозатраты членов ВТК'!$F$464:$F$713,'Трудозатраты членов ВТК'!$D$464:$D$713,A:A),"-")</f>
        <v>0</v>
      </c>
      <c r="G337" s="302"/>
      <c r="H337" s="295">
        <f t="shared" si="48"/>
        <v>0</v>
      </c>
      <c r="I337" s="296">
        <f>IFERROR(ROUND(IF('Состав ВТК'!$K330=справочник!$A$5,IF(AND('Расчет участников НИР'!$A337='Состав ВТК'!$B330,$I$10='Состав ВТК'!$I330),$F337*$D337*VLOOKUP('Расчет участников НИР'!$B337,Расценка!$C$3:$E$13,3,FALSE),0),0),2),"-")</f>
        <v>0</v>
      </c>
      <c r="J337" s="296">
        <f>IFERROR(ROUND(IF('Состав ВТК'!$K330=справочник!$A$5,IF(AND('Расчет участников НИР'!$A337='Состав ВТК'!$B330,$J$10='Состав ВТК'!$I330),$F337*$D337*VLOOKUP('Расчет участников НИР'!$B337,Расценка!$C$3:$E$13,3,FALSE),0),0),2),"-")</f>
        <v>0</v>
      </c>
      <c r="K337" s="296">
        <f>IFERROR(ROUND(IF('Состав ВТК'!$K330=справочник!$A$5,IF(AND('Расчет участников НИР'!$A337='Состав ВТК'!$B330,$K$10='Состав ВТК'!$I330),$F337*$D337*VLOOKUP('Расчет участников НИР'!$B337,Расценка!$C$3:$E$13,3,FALSE),0),0),2),"-")</f>
        <v>0</v>
      </c>
      <c r="L337" s="297"/>
      <c r="M337" s="295">
        <f t="shared" si="49"/>
        <v>0</v>
      </c>
      <c r="N337" s="298">
        <f>IFERROR(ROUND(IF('Состав ВТК'!$K330=справочник!$A$5,(IF(AND($A337='Состав ВТК'!$B330,$N$10=$C337),$F337*$D337*VLOOKUP($B337,Расценка!$H$3:$K$9,4,FALSE),0)),0),2),"-")</f>
        <v>0</v>
      </c>
      <c r="O337" s="298">
        <f>IFERROR(ROUND(IF('Состав ВТК'!$K330=справочник!$A$5,(IF(AND($A337='Состав ВТК'!$B330,$O$10=$C337),$F337*$D337*VLOOKUP($B337,Расценка!$H$3:$K$9,4,FALSE),0)),0),2),"-")</f>
        <v>0</v>
      </c>
      <c r="P337" s="299">
        <f t="shared" si="50"/>
        <v>0</v>
      </c>
      <c r="Q337" s="300">
        <f t="shared" ref="Q337:Q356" si="55">ROUND($P337*$Q$13,2)</f>
        <v>0</v>
      </c>
      <c r="R337" s="300">
        <f t="shared" ref="R337:R356" si="56">ROUND($P337*$R$13,2)</f>
        <v>0</v>
      </c>
      <c r="S337" s="295">
        <f t="shared" si="51"/>
        <v>0</v>
      </c>
      <c r="T337" s="298">
        <f>IFERROR(ROUND(IF(AND('Расчет участников НИР'!$A337='Состав ВТК'!$B330,'Расчет участников НИР'!$T$10='Состав ВТК'!$I330),$E337,0),2),"-")</f>
        <v>0</v>
      </c>
      <c r="U337" s="298">
        <f>IFERROR(ROUND(IF(AND('Расчет участников НИР'!$A337='Состав ВТК'!$B330,'Расчет участников НИР'!$U$10='Состав ВТК'!$I330),$E337,0),2),"-")</f>
        <v>0</v>
      </c>
      <c r="V337" s="298">
        <f>IFERROR(ROUND(IF(AND('Расчет участников НИР'!$A337='Состав ВТК'!$B330,'Расчет участников НИР'!$V$10='Состав ВТК'!$I330),$E337,0),2),"-")</f>
        <v>0</v>
      </c>
      <c r="W337" s="301" t="str">
        <f t="shared" si="52"/>
        <v>-</v>
      </c>
      <c r="X337" s="301" t="str">
        <f t="shared" si="53"/>
        <v>-</v>
      </c>
      <c r="Y337" s="301" t="str">
        <f t="shared" si="54"/>
        <v>-</v>
      </c>
    </row>
    <row r="338" spans="1:25" x14ac:dyDescent="0.25">
      <c r="A338" s="217">
        <f>'Состав ВТК'!B331</f>
        <v>0</v>
      </c>
      <c r="B338" s="290">
        <f>IFERROR(VLOOKUP($A338,Распределение!$B$13:$L$113,11,FALSE),"-")</f>
        <v>0</v>
      </c>
      <c r="C338" s="291" t="str">
        <f>IFERROR(IF(VLOOKUP($B338,Расценка!$H$3:$I$9,2,FALSE)="НС",Расценка!$T$11,Расценка!$T$12),"-")</f>
        <v>-</v>
      </c>
      <c r="D338" s="291">
        <f>IFERROR(INDEX(Распределение!$1:$1048576,MATCH($A338,Распределение!$B:$B,0),MATCH($D$8,Распределение!$9:$9,0)),"---")</f>
        <v>0</v>
      </c>
      <c r="E338" s="292">
        <f>IFERROR(SUMIFS('Трудозатраты членов ВТК'!$G$17:$G$117,'Трудозатраты членов ВТК'!$D$17:$D$117,A:A),"-")</f>
        <v>0</v>
      </c>
      <c r="F338" s="293">
        <f>IFERROR(SUMIFS('Трудозатраты членов ВТК'!$F$464:$F$713,'Трудозатраты членов ВТК'!$D$464:$D$713,A:A),"-")</f>
        <v>0</v>
      </c>
      <c r="G338" s="302"/>
      <c r="H338" s="295">
        <f t="shared" si="48"/>
        <v>0</v>
      </c>
      <c r="I338" s="296">
        <f>IFERROR(ROUND(IF('Состав ВТК'!$K331=справочник!$A$5,IF(AND('Расчет участников НИР'!$A338='Состав ВТК'!$B331,$I$10='Состав ВТК'!$I331),$F338*$D338*VLOOKUP('Расчет участников НИР'!$B338,Расценка!$C$3:$E$13,3,FALSE),0),0),2),"-")</f>
        <v>0</v>
      </c>
      <c r="J338" s="296">
        <f>IFERROR(ROUND(IF('Состав ВТК'!$K331=справочник!$A$5,IF(AND('Расчет участников НИР'!$A338='Состав ВТК'!$B331,$J$10='Состав ВТК'!$I331),$F338*$D338*VLOOKUP('Расчет участников НИР'!$B338,Расценка!$C$3:$E$13,3,FALSE),0),0),2),"-")</f>
        <v>0</v>
      </c>
      <c r="K338" s="296">
        <f>IFERROR(ROUND(IF('Состав ВТК'!$K331=справочник!$A$5,IF(AND('Расчет участников НИР'!$A338='Состав ВТК'!$B331,$K$10='Состав ВТК'!$I331),$F338*$D338*VLOOKUP('Расчет участников НИР'!$B338,Расценка!$C$3:$E$13,3,FALSE),0),0),2),"-")</f>
        <v>0</v>
      </c>
      <c r="L338" s="297"/>
      <c r="M338" s="295">
        <f t="shared" si="49"/>
        <v>0</v>
      </c>
      <c r="N338" s="298">
        <f>IFERROR(ROUND(IF('Состав ВТК'!$K331=справочник!$A$5,(IF(AND($A338='Состав ВТК'!$B331,$N$10=$C338),$F338*$D338*VLOOKUP($B338,Расценка!$H$3:$K$9,4,FALSE),0)),0),2),"-")</f>
        <v>0</v>
      </c>
      <c r="O338" s="298">
        <f>IFERROR(ROUND(IF('Состав ВТК'!$K331=справочник!$A$5,(IF(AND($A338='Состав ВТК'!$B331,$O$10=$C338),$F338*$D338*VLOOKUP($B338,Расценка!$H$3:$K$9,4,FALSE),0)),0),2),"-")</f>
        <v>0</v>
      </c>
      <c r="P338" s="299">
        <f t="shared" si="50"/>
        <v>0</v>
      </c>
      <c r="Q338" s="300">
        <f t="shared" si="55"/>
        <v>0</v>
      </c>
      <c r="R338" s="300">
        <f t="shared" si="56"/>
        <v>0</v>
      </c>
      <c r="S338" s="295">
        <f t="shared" si="51"/>
        <v>0</v>
      </c>
      <c r="T338" s="298">
        <f>IFERROR(ROUND(IF(AND('Расчет участников НИР'!$A338='Состав ВТК'!$B331,'Расчет участников НИР'!$T$10='Состав ВТК'!$I331),$E338,0),2),"-")</f>
        <v>0</v>
      </c>
      <c r="U338" s="298">
        <f>IFERROR(ROUND(IF(AND('Расчет участников НИР'!$A338='Состав ВТК'!$B331,'Расчет участников НИР'!$U$10='Состав ВТК'!$I331),$E338,0),2),"-")</f>
        <v>0</v>
      </c>
      <c r="V338" s="298">
        <f>IFERROR(ROUND(IF(AND('Расчет участников НИР'!$A338='Состав ВТК'!$B331,'Расчет участников НИР'!$V$10='Состав ВТК'!$I331),$E338,0),2),"-")</f>
        <v>0</v>
      </c>
      <c r="W338" s="301" t="str">
        <f t="shared" si="52"/>
        <v>-</v>
      </c>
      <c r="X338" s="301" t="str">
        <f t="shared" si="53"/>
        <v>-</v>
      </c>
      <c r="Y338" s="301" t="str">
        <f t="shared" si="54"/>
        <v>-</v>
      </c>
    </row>
    <row r="339" spans="1:25" x14ac:dyDescent="0.25">
      <c r="A339" s="217">
        <f>'Состав ВТК'!B332</f>
        <v>0</v>
      </c>
      <c r="B339" s="290">
        <f>IFERROR(VLOOKUP($A339,Распределение!$B$13:$L$113,11,FALSE),"-")</f>
        <v>0</v>
      </c>
      <c r="C339" s="291" t="str">
        <f>IFERROR(IF(VLOOKUP($B339,Расценка!$H$3:$I$9,2,FALSE)="НС",Расценка!$T$11,Расценка!$T$12),"-")</f>
        <v>-</v>
      </c>
      <c r="D339" s="291">
        <f>IFERROR(INDEX(Распределение!$1:$1048576,MATCH($A339,Распределение!$B:$B,0),MATCH($D$8,Распределение!$9:$9,0)),"---")</f>
        <v>0</v>
      </c>
      <c r="E339" s="292">
        <f>IFERROR(SUMIFS('Трудозатраты членов ВТК'!$G$17:$G$117,'Трудозатраты членов ВТК'!$D$17:$D$117,A:A),"-")</f>
        <v>0</v>
      </c>
      <c r="F339" s="293">
        <f>IFERROR(SUMIFS('Трудозатраты членов ВТК'!$F$464:$F$713,'Трудозатраты членов ВТК'!$D$464:$D$713,A:A),"-")</f>
        <v>0</v>
      </c>
      <c r="G339" s="302"/>
      <c r="H339" s="295">
        <f t="shared" si="48"/>
        <v>0</v>
      </c>
      <c r="I339" s="296">
        <f>IFERROR(ROUND(IF('Состав ВТК'!$K332=справочник!$A$5,IF(AND('Расчет участников НИР'!$A339='Состав ВТК'!$B332,$I$10='Состав ВТК'!$I332),$F339*$D339*VLOOKUP('Расчет участников НИР'!$B339,Расценка!$C$3:$E$13,3,FALSE),0),0),2),"-")</f>
        <v>0</v>
      </c>
      <c r="J339" s="296">
        <f>IFERROR(ROUND(IF('Состав ВТК'!$K332=справочник!$A$5,IF(AND('Расчет участников НИР'!$A339='Состав ВТК'!$B332,$J$10='Состав ВТК'!$I332),$F339*$D339*VLOOKUP('Расчет участников НИР'!$B339,Расценка!$C$3:$E$13,3,FALSE),0),0),2),"-")</f>
        <v>0</v>
      </c>
      <c r="K339" s="296">
        <f>IFERROR(ROUND(IF('Состав ВТК'!$K332=справочник!$A$5,IF(AND('Расчет участников НИР'!$A339='Состав ВТК'!$B332,$K$10='Состав ВТК'!$I332),$F339*$D339*VLOOKUP('Расчет участников НИР'!$B339,Расценка!$C$3:$E$13,3,FALSE),0),0),2),"-")</f>
        <v>0</v>
      </c>
      <c r="L339" s="297"/>
      <c r="M339" s="295">
        <f t="shared" si="49"/>
        <v>0</v>
      </c>
      <c r="N339" s="298">
        <f>IFERROR(ROUND(IF('Состав ВТК'!$K332=справочник!$A$5,(IF(AND($A339='Состав ВТК'!$B332,$N$10=$C339),$F339*$D339*VLOOKUP($B339,Расценка!$H$3:$K$9,4,FALSE),0)),0),2),"-")</f>
        <v>0</v>
      </c>
      <c r="O339" s="298">
        <f>IFERROR(ROUND(IF('Состав ВТК'!$K332=справочник!$A$5,(IF(AND($A339='Состав ВТК'!$B332,$O$10=$C339),$F339*$D339*VLOOKUP($B339,Расценка!$H$3:$K$9,4,FALSE),0)),0),2),"-")</f>
        <v>0</v>
      </c>
      <c r="P339" s="299">
        <f t="shared" si="50"/>
        <v>0</v>
      </c>
      <c r="Q339" s="300">
        <f t="shared" si="55"/>
        <v>0</v>
      </c>
      <c r="R339" s="300">
        <f t="shared" si="56"/>
        <v>0</v>
      </c>
      <c r="S339" s="295">
        <f t="shared" si="51"/>
        <v>0</v>
      </c>
      <c r="T339" s="298">
        <f>IFERROR(ROUND(IF(AND('Расчет участников НИР'!$A339='Состав ВТК'!$B332,'Расчет участников НИР'!$T$10='Состав ВТК'!$I332),$E339,0),2),"-")</f>
        <v>0</v>
      </c>
      <c r="U339" s="298">
        <f>IFERROR(ROUND(IF(AND('Расчет участников НИР'!$A339='Состав ВТК'!$B332,'Расчет участников НИР'!$U$10='Состав ВТК'!$I332),$E339,0),2),"-")</f>
        <v>0</v>
      </c>
      <c r="V339" s="298">
        <f>IFERROR(ROUND(IF(AND('Расчет участников НИР'!$A339='Состав ВТК'!$B332,'Расчет участников НИР'!$V$10='Состав ВТК'!$I332),$E339,0),2),"-")</f>
        <v>0</v>
      </c>
      <c r="W339" s="301" t="str">
        <f t="shared" si="52"/>
        <v>-</v>
      </c>
      <c r="X339" s="301" t="str">
        <f t="shared" si="53"/>
        <v>-</v>
      </c>
      <c r="Y339" s="301" t="str">
        <f t="shared" si="54"/>
        <v>-</v>
      </c>
    </row>
    <row r="340" spans="1:25" x14ac:dyDescent="0.25">
      <c r="A340" s="217">
        <f>'Состав ВТК'!B333</f>
        <v>0</v>
      </c>
      <c r="B340" s="290">
        <f>IFERROR(VLOOKUP($A340,Распределение!$B$13:$L$113,11,FALSE),"-")</f>
        <v>0</v>
      </c>
      <c r="C340" s="291" t="str">
        <f>IFERROR(IF(VLOOKUP($B340,Расценка!$H$3:$I$9,2,FALSE)="НС",Расценка!$T$11,Расценка!$T$12),"-")</f>
        <v>-</v>
      </c>
      <c r="D340" s="291">
        <f>IFERROR(INDEX(Распределение!$1:$1048576,MATCH($A340,Распределение!$B:$B,0),MATCH($D$8,Распределение!$9:$9,0)),"---")</f>
        <v>0</v>
      </c>
      <c r="E340" s="292">
        <f>IFERROR(SUMIFS('Трудозатраты членов ВТК'!$G$17:$G$117,'Трудозатраты членов ВТК'!$D$17:$D$117,A:A),"-")</f>
        <v>0</v>
      </c>
      <c r="F340" s="293">
        <f>IFERROR(SUMIFS('Трудозатраты членов ВТК'!$F$464:$F$713,'Трудозатраты членов ВТК'!$D$464:$D$713,A:A),"-")</f>
        <v>0</v>
      </c>
      <c r="G340" s="302"/>
      <c r="H340" s="295">
        <f t="shared" si="48"/>
        <v>0</v>
      </c>
      <c r="I340" s="296">
        <f>IFERROR(ROUND(IF('Состав ВТК'!$K333=справочник!$A$5,IF(AND('Расчет участников НИР'!$A340='Состав ВТК'!$B333,$I$10='Состав ВТК'!$I333),$F340*$D340*VLOOKUP('Расчет участников НИР'!$B340,Расценка!$C$3:$E$13,3,FALSE),0),0),2),"-")</f>
        <v>0</v>
      </c>
      <c r="J340" s="296">
        <f>IFERROR(ROUND(IF('Состав ВТК'!$K333=справочник!$A$5,IF(AND('Расчет участников НИР'!$A340='Состав ВТК'!$B333,$J$10='Состав ВТК'!$I333),$F340*$D340*VLOOKUP('Расчет участников НИР'!$B340,Расценка!$C$3:$E$13,3,FALSE),0),0),2),"-")</f>
        <v>0</v>
      </c>
      <c r="K340" s="296">
        <f>IFERROR(ROUND(IF('Состав ВТК'!$K333=справочник!$A$5,IF(AND('Расчет участников НИР'!$A340='Состав ВТК'!$B333,$K$10='Состав ВТК'!$I333),$F340*$D340*VLOOKUP('Расчет участников НИР'!$B340,Расценка!$C$3:$E$13,3,FALSE),0),0),2),"-")</f>
        <v>0</v>
      </c>
      <c r="L340" s="297"/>
      <c r="M340" s="295">
        <f t="shared" si="49"/>
        <v>0</v>
      </c>
      <c r="N340" s="298">
        <f>IFERROR(ROUND(IF('Состав ВТК'!$K333=справочник!$A$5,(IF(AND($A340='Состав ВТК'!$B333,$N$10=$C340),$F340*$D340*VLOOKUP($B340,Расценка!$H$3:$K$9,4,FALSE),0)),0),2),"-")</f>
        <v>0</v>
      </c>
      <c r="O340" s="298">
        <f>IFERROR(ROUND(IF('Состав ВТК'!$K333=справочник!$A$5,(IF(AND($A340='Состав ВТК'!$B333,$O$10=$C340),$F340*$D340*VLOOKUP($B340,Расценка!$H$3:$K$9,4,FALSE),0)),0),2),"-")</f>
        <v>0</v>
      </c>
      <c r="P340" s="299">
        <f t="shared" si="50"/>
        <v>0</v>
      </c>
      <c r="Q340" s="300">
        <f t="shared" si="55"/>
        <v>0</v>
      </c>
      <c r="R340" s="300">
        <f t="shared" si="56"/>
        <v>0</v>
      </c>
      <c r="S340" s="295">
        <f t="shared" si="51"/>
        <v>0</v>
      </c>
      <c r="T340" s="298">
        <f>IFERROR(ROUND(IF(AND('Расчет участников НИР'!$A340='Состав ВТК'!$B333,'Расчет участников НИР'!$T$10='Состав ВТК'!$I333),$E340,0),2),"-")</f>
        <v>0</v>
      </c>
      <c r="U340" s="298">
        <f>IFERROR(ROUND(IF(AND('Расчет участников НИР'!$A340='Состав ВТК'!$B333,'Расчет участников НИР'!$U$10='Состав ВТК'!$I333),$E340,0),2),"-")</f>
        <v>0</v>
      </c>
      <c r="V340" s="298">
        <f>IFERROR(ROUND(IF(AND('Расчет участников НИР'!$A340='Состав ВТК'!$B333,'Расчет участников НИР'!$V$10='Состав ВТК'!$I333),$E340,0),2),"-")</f>
        <v>0</v>
      </c>
      <c r="W340" s="301" t="str">
        <f t="shared" si="52"/>
        <v>-</v>
      </c>
      <c r="X340" s="301" t="str">
        <f t="shared" si="53"/>
        <v>-</v>
      </c>
      <c r="Y340" s="301" t="str">
        <f t="shared" si="54"/>
        <v>-</v>
      </c>
    </row>
    <row r="341" spans="1:25" x14ac:dyDescent="0.25">
      <c r="A341" s="217">
        <f>'Состав ВТК'!B334</f>
        <v>0</v>
      </c>
      <c r="B341" s="290">
        <f>IFERROR(VLOOKUP($A341,Распределение!$B$13:$L$113,11,FALSE),"-")</f>
        <v>0</v>
      </c>
      <c r="C341" s="291" t="str">
        <f>IFERROR(IF(VLOOKUP($B341,Расценка!$H$3:$I$9,2,FALSE)="НС",Расценка!$T$11,Расценка!$T$12),"-")</f>
        <v>-</v>
      </c>
      <c r="D341" s="291">
        <f>IFERROR(INDEX(Распределение!$1:$1048576,MATCH($A341,Распределение!$B:$B,0),MATCH($D$8,Распределение!$9:$9,0)),"---")</f>
        <v>0</v>
      </c>
      <c r="E341" s="292">
        <f>IFERROR(SUMIFS('Трудозатраты членов ВТК'!$G$17:$G$117,'Трудозатраты членов ВТК'!$D$17:$D$117,A:A),"-")</f>
        <v>0</v>
      </c>
      <c r="F341" s="293">
        <f>IFERROR(SUMIFS('Трудозатраты членов ВТК'!$F$464:$F$713,'Трудозатраты членов ВТК'!$D$464:$D$713,A:A),"-")</f>
        <v>0</v>
      </c>
      <c r="G341" s="302"/>
      <c r="H341" s="295">
        <f t="shared" si="48"/>
        <v>0</v>
      </c>
      <c r="I341" s="296">
        <f>IFERROR(ROUND(IF('Состав ВТК'!$K334=справочник!$A$5,IF(AND('Расчет участников НИР'!$A341='Состав ВТК'!$B334,$I$10='Состав ВТК'!$I334),$F341*$D341*VLOOKUP('Расчет участников НИР'!$B341,Расценка!$C$3:$E$13,3,FALSE),0),0),2),"-")</f>
        <v>0</v>
      </c>
      <c r="J341" s="296">
        <f>IFERROR(ROUND(IF('Состав ВТК'!$K334=справочник!$A$5,IF(AND('Расчет участников НИР'!$A341='Состав ВТК'!$B334,$J$10='Состав ВТК'!$I334),$F341*$D341*VLOOKUP('Расчет участников НИР'!$B341,Расценка!$C$3:$E$13,3,FALSE),0),0),2),"-")</f>
        <v>0</v>
      </c>
      <c r="K341" s="296">
        <f>IFERROR(ROUND(IF('Состав ВТК'!$K334=справочник!$A$5,IF(AND('Расчет участников НИР'!$A341='Состав ВТК'!$B334,$K$10='Состав ВТК'!$I334),$F341*$D341*VLOOKUP('Расчет участников НИР'!$B341,Расценка!$C$3:$E$13,3,FALSE),0),0),2),"-")</f>
        <v>0</v>
      </c>
      <c r="L341" s="297"/>
      <c r="M341" s="295">
        <f t="shared" si="49"/>
        <v>0</v>
      </c>
      <c r="N341" s="298">
        <f>IFERROR(ROUND(IF('Состав ВТК'!$K334=справочник!$A$5,(IF(AND($A341='Состав ВТК'!$B334,$N$10=$C341),$F341*$D341*VLOOKUP($B341,Расценка!$H$3:$K$9,4,FALSE),0)),0),2),"-")</f>
        <v>0</v>
      </c>
      <c r="O341" s="298">
        <f>IFERROR(ROUND(IF('Состав ВТК'!$K334=справочник!$A$5,(IF(AND($A341='Состав ВТК'!$B334,$O$10=$C341),$F341*$D341*VLOOKUP($B341,Расценка!$H$3:$K$9,4,FALSE),0)),0),2),"-")</f>
        <v>0</v>
      </c>
      <c r="P341" s="299">
        <f t="shared" si="50"/>
        <v>0</v>
      </c>
      <c r="Q341" s="300">
        <f t="shared" si="55"/>
        <v>0</v>
      </c>
      <c r="R341" s="300">
        <f t="shared" si="56"/>
        <v>0</v>
      </c>
      <c r="S341" s="295">
        <f t="shared" si="51"/>
        <v>0</v>
      </c>
      <c r="T341" s="298">
        <f>IFERROR(ROUND(IF(AND('Расчет участников НИР'!$A341='Состав ВТК'!$B334,'Расчет участников НИР'!$T$10='Состав ВТК'!$I334),$E341,0),2),"-")</f>
        <v>0</v>
      </c>
      <c r="U341" s="298">
        <f>IFERROR(ROUND(IF(AND('Расчет участников НИР'!$A341='Состав ВТК'!$B334,'Расчет участников НИР'!$U$10='Состав ВТК'!$I334),$E341,0),2),"-")</f>
        <v>0</v>
      </c>
      <c r="V341" s="298">
        <f>IFERROR(ROUND(IF(AND('Расчет участников НИР'!$A341='Состав ВТК'!$B334,'Расчет участников НИР'!$V$10='Состав ВТК'!$I334),$E341,0),2),"-")</f>
        <v>0</v>
      </c>
      <c r="W341" s="301" t="str">
        <f t="shared" si="52"/>
        <v>-</v>
      </c>
      <c r="X341" s="301" t="str">
        <f t="shared" si="53"/>
        <v>-</v>
      </c>
      <c r="Y341" s="301" t="str">
        <f t="shared" si="54"/>
        <v>-</v>
      </c>
    </row>
    <row r="342" spans="1:25" x14ac:dyDescent="0.25">
      <c r="A342" s="217">
        <f>'Состав ВТК'!B335</f>
        <v>0</v>
      </c>
      <c r="B342" s="290">
        <f>IFERROR(VLOOKUP($A342,Распределение!$B$13:$L$113,11,FALSE),"-")</f>
        <v>0</v>
      </c>
      <c r="C342" s="291" t="str">
        <f>IFERROR(IF(VLOOKUP($B342,Расценка!$H$3:$I$9,2,FALSE)="НС",Расценка!$T$11,Расценка!$T$12),"-")</f>
        <v>-</v>
      </c>
      <c r="D342" s="291">
        <f>IFERROR(INDEX(Распределение!$1:$1048576,MATCH($A342,Распределение!$B:$B,0),MATCH($D$8,Распределение!$9:$9,0)),"---")</f>
        <v>0</v>
      </c>
      <c r="E342" s="292">
        <f>IFERROR(SUMIFS('Трудозатраты членов ВТК'!$G$17:$G$117,'Трудозатраты членов ВТК'!$D$17:$D$117,A:A),"-")</f>
        <v>0</v>
      </c>
      <c r="F342" s="293">
        <f>IFERROR(SUMIFS('Трудозатраты членов ВТК'!$F$464:$F$713,'Трудозатраты членов ВТК'!$D$464:$D$713,A:A),"-")</f>
        <v>0</v>
      </c>
      <c r="G342" s="302"/>
      <c r="H342" s="295">
        <f t="shared" si="48"/>
        <v>0</v>
      </c>
      <c r="I342" s="296">
        <f>IFERROR(ROUND(IF('Состав ВТК'!$K335=справочник!$A$5,IF(AND('Расчет участников НИР'!$A342='Состав ВТК'!$B335,$I$10='Состав ВТК'!$I335),$F342*$D342*VLOOKUP('Расчет участников НИР'!$B342,Расценка!$C$3:$E$13,3,FALSE),0),0),2),"-")</f>
        <v>0</v>
      </c>
      <c r="J342" s="296">
        <f>IFERROR(ROUND(IF('Состав ВТК'!$K335=справочник!$A$5,IF(AND('Расчет участников НИР'!$A342='Состав ВТК'!$B335,$J$10='Состав ВТК'!$I335),$F342*$D342*VLOOKUP('Расчет участников НИР'!$B342,Расценка!$C$3:$E$13,3,FALSE),0),0),2),"-")</f>
        <v>0</v>
      </c>
      <c r="K342" s="296">
        <f>IFERROR(ROUND(IF('Состав ВТК'!$K335=справочник!$A$5,IF(AND('Расчет участников НИР'!$A342='Состав ВТК'!$B335,$K$10='Состав ВТК'!$I335),$F342*$D342*VLOOKUP('Расчет участников НИР'!$B342,Расценка!$C$3:$E$13,3,FALSE),0),0),2),"-")</f>
        <v>0</v>
      </c>
      <c r="L342" s="297"/>
      <c r="M342" s="295">
        <f t="shared" si="49"/>
        <v>0</v>
      </c>
      <c r="N342" s="298">
        <f>IFERROR(ROUND(IF('Состав ВТК'!$K335=справочник!$A$5,(IF(AND($A342='Состав ВТК'!$B335,$N$10=$C342),$F342*$D342*VLOOKUP($B342,Расценка!$H$3:$K$9,4,FALSE),0)),0),2),"-")</f>
        <v>0</v>
      </c>
      <c r="O342" s="298">
        <f>IFERROR(ROUND(IF('Состав ВТК'!$K335=справочник!$A$5,(IF(AND($A342='Состав ВТК'!$B335,$O$10=$C342),$F342*$D342*VLOOKUP($B342,Расценка!$H$3:$K$9,4,FALSE),0)),0),2),"-")</f>
        <v>0</v>
      </c>
      <c r="P342" s="299">
        <f t="shared" si="50"/>
        <v>0</v>
      </c>
      <c r="Q342" s="300">
        <f t="shared" si="55"/>
        <v>0</v>
      </c>
      <c r="R342" s="300">
        <f t="shared" si="56"/>
        <v>0</v>
      </c>
      <c r="S342" s="295">
        <f t="shared" si="51"/>
        <v>0</v>
      </c>
      <c r="T342" s="298">
        <f>IFERROR(ROUND(IF(AND('Расчет участников НИР'!$A342='Состав ВТК'!$B335,'Расчет участников НИР'!$T$10='Состав ВТК'!$I335),$E342,0),2),"-")</f>
        <v>0</v>
      </c>
      <c r="U342" s="298">
        <f>IFERROR(ROUND(IF(AND('Расчет участников НИР'!$A342='Состав ВТК'!$B335,'Расчет участников НИР'!$U$10='Состав ВТК'!$I335),$E342,0),2),"-")</f>
        <v>0</v>
      </c>
      <c r="V342" s="298">
        <f>IFERROR(ROUND(IF(AND('Расчет участников НИР'!$A342='Состав ВТК'!$B335,'Расчет участников НИР'!$V$10='Состав ВТК'!$I335),$E342,0),2),"-")</f>
        <v>0</v>
      </c>
      <c r="W342" s="301" t="str">
        <f t="shared" si="52"/>
        <v>-</v>
      </c>
      <c r="X342" s="301" t="str">
        <f t="shared" si="53"/>
        <v>-</v>
      </c>
      <c r="Y342" s="301" t="str">
        <f t="shared" si="54"/>
        <v>-</v>
      </c>
    </row>
    <row r="343" spans="1:25" x14ac:dyDescent="0.25">
      <c r="A343" s="217">
        <f>'Состав ВТК'!B336</f>
        <v>0</v>
      </c>
      <c r="B343" s="290">
        <f>IFERROR(VLOOKUP($A343,Распределение!$B$13:$L$113,11,FALSE),"-")</f>
        <v>0</v>
      </c>
      <c r="C343" s="291" t="str">
        <f>IFERROR(IF(VLOOKUP($B343,Расценка!$H$3:$I$9,2,FALSE)="НС",Расценка!$T$11,Расценка!$T$12),"-")</f>
        <v>-</v>
      </c>
      <c r="D343" s="291">
        <f>IFERROR(INDEX(Распределение!$1:$1048576,MATCH($A343,Распределение!$B:$B,0),MATCH($D$8,Распределение!$9:$9,0)),"---")</f>
        <v>0</v>
      </c>
      <c r="E343" s="292">
        <f>IFERROR(SUMIFS('Трудозатраты членов ВТК'!$G$17:$G$117,'Трудозатраты членов ВТК'!$D$17:$D$117,A:A),"-")</f>
        <v>0</v>
      </c>
      <c r="F343" s="293">
        <f>IFERROR(SUMIFS('Трудозатраты членов ВТК'!$F$464:$F$713,'Трудозатраты членов ВТК'!$D$464:$D$713,A:A),"-")</f>
        <v>0</v>
      </c>
      <c r="G343" s="302"/>
      <c r="H343" s="295">
        <f t="shared" si="48"/>
        <v>0</v>
      </c>
      <c r="I343" s="296">
        <f>IFERROR(ROUND(IF('Состав ВТК'!$K336=справочник!$A$5,IF(AND('Расчет участников НИР'!$A343='Состав ВТК'!$B336,$I$10='Состав ВТК'!$I336),$F343*$D343*VLOOKUP('Расчет участников НИР'!$B343,Расценка!$C$3:$E$13,3,FALSE),0),0),2),"-")</f>
        <v>0</v>
      </c>
      <c r="J343" s="296">
        <f>IFERROR(ROUND(IF('Состав ВТК'!$K336=справочник!$A$5,IF(AND('Расчет участников НИР'!$A343='Состав ВТК'!$B336,$J$10='Состав ВТК'!$I336),$F343*$D343*VLOOKUP('Расчет участников НИР'!$B343,Расценка!$C$3:$E$13,3,FALSE),0),0),2),"-")</f>
        <v>0</v>
      </c>
      <c r="K343" s="296">
        <f>IFERROR(ROUND(IF('Состав ВТК'!$K336=справочник!$A$5,IF(AND('Расчет участников НИР'!$A343='Состав ВТК'!$B336,$K$10='Состав ВТК'!$I336),$F343*$D343*VLOOKUP('Расчет участников НИР'!$B343,Расценка!$C$3:$E$13,3,FALSE),0),0),2),"-")</f>
        <v>0</v>
      </c>
      <c r="L343" s="297"/>
      <c r="M343" s="295">
        <f t="shared" si="49"/>
        <v>0</v>
      </c>
      <c r="N343" s="298">
        <f>IFERROR(ROUND(IF('Состав ВТК'!$K336=справочник!$A$5,(IF(AND($A343='Состав ВТК'!$B336,$N$10=$C343),$F343*$D343*VLOOKUP($B343,Расценка!$H$3:$K$9,4,FALSE),0)),0),2),"-")</f>
        <v>0</v>
      </c>
      <c r="O343" s="298">
        <f>IFERROR(ROUND(IF('Состав ВТК'!$K336=справочник!$A$5,(IF(AND($A343='Состав ВТК'!$B336,$O$10=$C343),$F343*$D343*VLOOKUP($B343,Расценка!$H$3:$K$9,4,FALSE),0)),0),2),"-")</f>
        <v>0</v>
      </c>
      <c r="P343" s="299">
        <f t="shared" si="50"/>
        <v>0</v>
      </c>
      <c r="Q343" s="300">
        <f t="shared" si="55"/>
        <v>0</v>
      </c>
      <c r="R343" s="300">
        <f t="shared" si="56"/>
        <v>0</v>
      </c>
      <c r="S343" s="295">
        <f t="shared" si="51"/>
        <v>0</v>
      </c>
      <c r="T343" s="298">
        <f>IFERROR(ROUND(IF(AND('Расчет участников НИР'!$A343='Состав ВТК'!$B336,'Расчет участников НИР'!$T$10='Состав ВТК'!$I336),$E343,0),2),"-")</f>
        <v>0</v>
      </c>
      <c r="U343" s="298">
        <f>IFERROR(ROUND(IF(AND('Расчет участников НИР'!$A343='Состав ВТК'!$B336,'Расчет участников НИР'!$U$10='Состав ВТК'!$I336),$E343,0),2),"-")</f>
        <v>0</v>
      </c>
      <c r="V343" s="298">
        <f>IFERROR(ROUND(IF(AND('Расчет участников НИР'!$A343='Состав ВТК'!$B336,'Расчет участников НИР'!$V$10='Состав ВТК'!$I336),$E343,0),2),"-")</f>
        <v>0</v>
      </c>
      <c r="W343" s="301" t="str">
        <f t="shared" si="52"/>
        <v>-</v>
      </c>
      <c r="X343" s="301" t="str">
        <f t="shared" si="53"/>
        <v>-</v>
      </c>
      <c r="Y343" s="301" t="str">
        <f t="shared" si="54"/>
        <v>-</v>
      </c>
    </row>
    <row r="344" spans="1:25" x14ac:dyDescent="0.25">
      <c r="A344" s="217">
        <f>'Состав ВТК'!B337</f>
        <v>0</v>
      </c>
      <c r="B344" s="290">
        <f>IFERROR(VLOOKUP($A344,Распределение!$B$13:$L$113,11,FALSE),"-")</f>
        <v>0</v>
      </c>
      <c r="C344" s="291" t="str">
        <f>IFERROR(IF(VLOOKUP($B344,Расценка!$H$3:$I$9,2,FALSE)="НС",Расценка!$T$11,Расценка!$T$12),"-")</f>
        <v>-</v>
      </c>
      <c r="D344" s="291">
        <f>IFERROR(INDEX(Распределение!$1:$1048576,MATCH($A344,Распределение!$B:$B,0),MATCH($D$8,Распределение!$9:$9,0)),"---")</f>
        <v>0</v>
      </c>
      <c r="E344" s="292">
        <f>IFERROR(SUMIFS('Трудозатраты членов ВТК'!$G$17:$G$117,'Трудозатраты членов ВТК'!$D$17:$D$117,A:A),"-")</f>
        <v>0</v>
      </c>
      <c r="F344" s="293">
        <f>IFERROR(SUMIFS('Трудозатраты членов ВТК'!$F$464:$F$713,'Трудозатраты членов ВТК'!$D$464:$D$713,A:A),"-")</f>
        <v>0</v>
      </c>
      <c r="G344" s="302"/>
      <c r="H344" s="295">
        <f t="shared" si="48"/>
        <v>0</v>
      </c>
      <c r="I344" s="296">
        <f>IFERROR(ROUND(IF('Состав ВТК'!$K337=справочник!$A$5,IF(AND('Расчет участников НИР'!$A344='Состав ВТК'!$B337,$I$10='Состав ВТК'!$I337),$F344*$D344*VLOOKUP('Расчет участников НИР'!$B344,Расценка!$C$3:$E$13,3,FALSE),0),0),2),"-")</f>
        <v>0</v>
      </c>
      <c r="J344" s="296">
        <f>IFERROR(ROUND(IF('Состав ВТК'!$K337=справочник!$A$5,IF(AND('Расчет участников НИР'!$A344='Состав ВТК'!$B337,$J$10='Состав ВТК'!$I337),$F344*$D344*VLOOKUP('Расчет участников НИР'!$B344,Расценка!$C$3:$E$13,3,FALSE),0),0),2),"-")</f>
        <v>0</v>
      </c>
      <c r="K344" s="296">
        <f>IFERROR(ROUND(IF('Состав ВТК'!$K337=справочник!$A$5,IF(AND('Расчет участников НИР'!$A344='Состав ВТК'!$B337,$K$10='Состав ВТК'!$I337),$F344*$D344*VLOOKUP('Расчет участников НИР'!$B344,Расценка!$C$3:$E$13,3,FALSE),0),0),2),"-")</f>
        <v>0</v>
      </c>
      <c r="L344" s="297"/>
      <c r="M344" s="295">
        <f t="shared" si="49"/>
        <v>0</v>
      </c>
      <c r="N344" s="298">
        <f>IFERROR(ROUND(IF('Состав ВТК'!$K337=справочник!$A$5,(IF(AND($A344='Состав ВТК'!$B337,$N$10=$C344),$F344*$D344*VLOOKUP($B344,Расценка!$H$3:$K$9,4,FALSE),0)),0),2),"-")</f>
        <v>0</v>
      </c>
      <c r="O344" s="298">
        <f>IFERROR(ROUND(IF('Состав ВТК'!$K337=справочник!$A$5,(IF(AND($A344='Состав ВТК'!$B337,$O$10=$C344),$F344*$D344*VLOOKUP($B344,Расценка!$H$3:$K$9,4,FALSE),0)),0),2),"-")</f>
        <v>0</v>
      </c>
      <c r="P344" s="299">
        <f t="shared" si="50"/>
        <v>0</v>
      </c>
      <c r="Q344" s="300">
        <f t="shared" si="55"/>
        <v>0</v>
      </c>
      <c r="R344" s="300">
        <f t="shared" si="56"/>
        <v>0</v>
      </c>
      <c r="S344" s="295">
        <f t="shared" si="51"/>
        <v>0</v>
      </c>
      <c r="T344" s="298">
        <f>IFERROR(ROUND(IF(AND('Расчет участников НИР'!$A344='Состав ВТК'!$B337,'Расчет участников НИР'!$T$10='Состав ВТК'!$I337),$E344,0),2),"-")</f>
        <v>0</v>
      </c>
      <c r="U344" s="298">
        <f>IFERROR(ROUND(IF(AND('Расчет участников НИР'!$A344='Состав ВТК'!$B337,'Расчет участников НИР'!$U$10='Состав ВТК'!$I337),$E344,0),2),"-")</f>
        <v>0</v>
      </c>
      <c r="V344" s="298">
        <f>IFERROR(ROUND(IF(AND('Расчет участников НИР'!$A344='Состав ВТК'!$B337,'Расчет участников НИР'!$V$10='Состав ВТК'!$I337),$E344,0),2),"-")</f>
        <v>0</v>
      </c>
      <c r="W344" s="301" t="str">
        <f t="shared" si="52"/>
        <v>-</v>
      </c>
      <c r="X344" s="301" t="str">
        <f t="shared" si="53"/>
        <v>-</v>
      </c>
      <c r="Y344" s="301" t="str">
        <f t="shared" si="54"/>
        <v>-</v>
      </c>
    </row>
    <row r="345" spans="1:25" x14ac:dyDescent="0.25">
      <c r="A345" s="217">
        <f>'Состав ВТК'!B338</f>
        <v>0</v>
      </c>
      <c r="B345" s="290">
        <f>IFERROR(VLOOKUP($A345,Распределение!$B$13:$L$113,11,FALSE),"-")</f>
        <v>0</v>
      </c>
      <c r="C345" s="291" t="str">
        <f>IFERROR(IF(VLOOKUP($B345,Расценка!$H$3:$I$9,2,FALSE)="НС",Расценка!$T$11,Расценка!$T$12),"-")</f>
        <v>-</v>
      </c>
      <c r="D345" s="291">
        <f>IFERROR(INDEX(Распределение!$1:$1048576,MATCH($A345,Распределение!$B:$B,0),MATCH($D$8,Распределение!$9:$9,0)),"---")</f>
        <v>0</v>
      </c>
      <c r="E345" s="292">
        <f>IFERROR(SUMIFS('Трудозатраты членов ВТК'!$G$17:$G$117,'Трудозатраты членов ВТК'!$D$17:$D$117,A:A),"-")</f>
        <v>0</v>
      </c>
      <c r="F345" s="293">
        <f>IFERROR(SUMIFS('Трудозатраты членов ВТК'!$F$464:$F$713,'Трудозатраты членов ВТК'!$D$464:$D$713,A:A),"-")</f>
        <v>0</v>
      </c>
      <c r="G345" s="302"/>
      <c r="H345" s="295">
        <f t="shared" si="48"/>
        <v>0</v>
      </c>
      <c r="I345" s="296">
        <f>IFERROR(ROUND(IF('Состав ВТК'!$K338=справочник!$A$5,IF(AND('Расчет участников НИР'!$A345='Состав ВТК'!$B338,$I$10='Состав ВТК'!$I338),$F345*$D345*VLOOKUP('Расчет участников НИР'!$B345,Расценка!$C$3:$E$13,3,FALSE),0),0),2),"-")</f>
        <v>0</v>
      </c>
      <c r="J345" s="296">
        <f>IFERROR(ROUND(IF('Состав ВТК'!$K338=справочник!$A$5,IF(AND('Расчет участников НИР'!$A345='Состав ВТК'!$B338,$J$10='Состав ВТК'!$I338),$F345*$D345*VLOOKUP('Расчет участников НИР'!$B345,Расценка!$C$3:$E$13,3,FALSE),0),0),2),"-")</f>
        <v>0</v>
      </c>
      <c r="K345" s="296">
        <f>IFERROR(ROUND(IF('Состав ВТК'!$K338=справочник!$A$5,IF(AND('Расчет участников НИР'!$A345='Состав ВТК'!$B338,$K$10='Состав ВТК'!$I338),$F345*$D345*VLOOKUP('Расчет участников НИР'!$B345,Расценка!$C$3:$E$13,3,FALSE),0),0),2),"-")</f>
        <v>0</v>
      </c>
      <c r="L345" s="297"/>
      <c r="M345" s="295">
        <f t="shared" si="49"/>
        <v>0</v>
      </c>
      <c r="N345" s="298">
        <f>IFERROR(ROUND(IF('Состав ВТК'!$K338=справочник!$A$5,(IF(AND($A345='Состав ВТК'!$B338,$N$10=$C345),$F345*$D345*VLOOKUP($B345,Расценка!$H$3:$K$9,4,FALSE),0)),0),2),"-")</f>
        <v>0</v>
      </c>
      <c r="O345" s="298">
        <f>IFERROR(ROUND(IF('Состав ВТК'!$K338=справочник!$A$5,(IF(AND($A345='Состав ВТК'!$B338,$O$10=$C345),$F345*$D345*VLOOKUP($B345,Расценка!$H$3:$K$9,4,FALSE),0)),0),2),"-")</f>
        <v>0</v>
      </c>
      <c r="P345" s="299">
        <f t="shared" si="50"/>
        <v>0</v>
      </c>
      <c r="Q345" s="300">
        <f t="shared" si="55"/>
        <v>0</v>
      </c>
      <c r="R345" s="300">
        <f t="shared" si="56"/>
        <v>0</v>
      </c>
      <c r="S345" s="295">
        <f t="shared" si="51"/>
        <v>0</v>
      </c>
      <c r="T345" s="298">
        <f>IFERROR(ROUND(IF(AND('Расчет участников НИР'!$A345='Состав ВТК'!$B338,'Расчет участников НИР'!$T$10='Состав ВТК'!$I338),$E345,0),2),"-")</f>
        <v>0</v>
      </c>
      <c r="U345" s="298">
        <f>IFERROR(ROUND(IF(AND('Расчет участников НИР'!$A345='Состав ВТК'!$B338,'Расчет участников НИР'!$U$10='Состав ВТК'!$I338),$E345,0),2),"-")</f>
        <v>0</v>
      </c>
      <c r="V345" s="298">
        <f>IFERROR(ROUND(IF(AND('Расчет участников НИР'!$A345='Состав ВТК'!$B338,'Расчет участников НИР'!$V$10='Состав ВТК'!$I338),$E345,0),2),"-")</f>
        <v>0</v>
      </c>
      <c r="W345" s="301" t="str">
        <f t="shared" si="52"/>
        <v>-</v>
      </c>
      <c r="X345" s="301" t="str">
        <f t="shared" si="53"/>
        <v>-</v>
      </c>
      <c r="Y345" s="301" t="str">
        <f t="shared" si="54"/>
        <v>-</v>
      </c>
    </row>
    <row r="346" spans="1:25" x14ac:dyDescent="0.25">
      <c r="A346" s="217">
        <f>'Состав ВТК'!B339</f>
        <v>0</v>
      </c>
      <c r="B346" s="290">
        <f>IFERROR(VLOOKUP($A346,Распределение!$B$13:$L$113,11,FALSE),"-")</f>
        <v>0</v>
      </c>
      <c r="C346" s="291" t="str">
        <f>IFERROR(IF(VLOOKUP($B346,Расценка!$H$3:$I$9,2,FALSE)="НС",Расценка!$T$11,Расценка!$T$12),"-")</f>
        <v>-</v>
      </c>
      <c r="D346" s="291">
        <f>IFERROR(INDEX(Распределение!$1:$1048576,MATCH($A346,Распределение!$B:$B,0),MATCH($D$8,Распределение!$9:$9,0)),"---")</f>
        <v>0</v>
      </c>
      <c r="E346" s="292">
        <f>IFERROR(SUMIFS('Трудозатраты членов ВТК'!$G$17:$G$117,'Трудозатраты членов ВТК'!$D$17:$D$117,A:A),"-")</f>
        <v>0</v>
      </c>
      <c r="F346" s="293">
        <f>IFERROR(SUMIFS('Трудозатраты членов ВТК'!$F$464:$F$713,'Трудозатраты членов ВТК'!$D$464:$D$713,A:A),"-")</f>
        <v>0</v>
      </c>
      <c r="G346" s="302"/>
      <c r="H346" s="295">
        <f t="shared" si="48"/>
        <v>0</v>
      </c>
      <c r="I346" s="296">
        <f>IFERROR(ROUND(IF('Состав ВТК'!$K339=справочник!$A$5,IF(AND('Расчет участников НИР'!$A346='Состав ВТК'!$B339,$I$10='Состав ВТК'!$I339),$F346*$D346*VLOOKUP('Расчет участников НИР'!$B346,Расценка!$C$3:$E$13,3,FALSE),0),0),2),"-")</f>
        <v>0</v>
      </c>
      <c r="J346" s="296">
        <f>IFERROR(ROUND(IF('Состав ВТК'!$K339=справочник!$A$5,IF(AND('Расчет участников НИР'!$A346='Состав ВТК'!$B339,$J$10='Состав ВТК'!$I339),$F346*$D346*VLOOKUP('Расчет участников НИР'!$B346,Расценка!$C$3:$E$13,3,FALSE),0),0),2),"-")</f>
        <v>0</v>
      </c>
      <c r="K346" s="296">
        <f>IFERROR(ROUND(IF('Состав ВТК'!$K339=справочник!$A$5,IF(AND('Расчет участников НИР'!$A346='Состав ВТК'!$B339,$K$10='Состав ВТК'!$I339),$F346*$D346*VLOOKUP('Расчет участников НИР'!$B346,Расценка!$C$3:$E$13,3,FALSE),0),0),2),"-")</f>
        <v>0</v>
      </c>
      <c r="L346" s="297"/>
      <c r="M346" s="295">
        <f t="shared" si="49"/>
        <v>0</v>
      </c>
      <c r="N346" s="298">
        <f>IFERROR(ROUND(IF('Состав ВТК'!$K339=справочник!$A$5,(IF(AND($A346='Состав ВТК'!$B339,$N$10=$C346),$F346*$D346*VLOOKUP($B346,Расценка!$H$3:$K$9,4,FALSE),0)),0),2),"-")</f>
        <v>0</v>
      </c>
      <c r="O346" s="298">
        <f>IFERROR(ROUND(IF('Состав ВТК'!$K339=справочник!$A$5,(IF(AND($A346='Состав ВТК'!$B339,$O$10=$C346),$F346*$D346*VLOOKUP($B346,Расценка!$H$3:$K$9,4,FALSE),0)),0),2),"-")</f>
        <v>0</v>
      </c>
      <c r="P346" s="299">
        <f t="shared" si="50"/>
        <v>0</v>
      </c>
      <c r="Q346" s="300">
        <f t="shared" si="55"/>
        <v>0</v>
      </c>
      <c r="R346" s="300">
        <f t="shared" si="56"/>
        <v>0</v>
      </c>
      <c r="S346" s="295">
        <f t="shared" si="51"/>
        <v>0</v>
      </c>
      <c r="T346" s="298">
        <f>IFERROR(ROUND(IF(AND('Расчет участников НИР'!$A346='Состав ВТК'!$B339,'Расчет участников НИР'!$T$10='Состав ВТК'!$I339),$E346,0),2),"-")</f>
        <v>0</v>
      </c>
      <c r="U346" s="298">
        <f>IFERROR(ROUND(IF(AND('Расчет участников НИР'!$A346='Состав ВТК'!$B339,'Расчет участников НИР'!$U$10='Состав ВТК'!$I339),$E346,0),2),"-")</f>
        <v>0</v>
      </c>
      <c r="V346" s="298">
        <f>IFERROR(ROUND(IF(AND('Расчет участников НИР'!$A346='Состав ВТК'!$B339,'Расчет участников НИР'!$V$10='Состав ВТК'!$I339),$E346,0),2),"-")</f>
        <v>0</v>
      </c>
      <c r="W346" s="301" t="str">
        <f t="shared" si="52"/>
        <v>-</v>
      </c>
      <c r="X346" s="301" t="str">
        <f t="shared" si="53"/>
        <v>-</v>
      </c>
      <c r="Y346" s="301" t="str">
        <f t="shared" si="54"/>
        <v>-</v>
      </c>
    </row>
    <row r="347" spans="1:25" x14ac:dyDescent="0.25">
      <c r="A347" s="217">
        <f>'Состав ВТК'!B340</f>
        <v>0</v>
      </c>
      <c r="B347" s="290">
        <f>IFERROR(VLOOKUP($A347,Распределение!$B$13:$L$113,11,FALSE),"-")</f>
        <v>0</v>
      </c>
      <c r="C347" s="291" t="str">
        <f>IFERROR(IF(VLOOKUP($B347,Расценка!$H$3:$I$9,2,FALSE)="НС",Расценка!$T$11,Расценка!$T$12),"-")</f>
        <v>-</v>
      </c>
      <c r="D347" s="291">
        <f>IFERROR(INDEX(Распределение!$1:$1048576,MATCH($A347,Распределение!$B:$B,0),MATCH($D$8,Распределение!$9:$9,0)),"---")</f>
        <v>0</v>
      </c>
      <c r="E347" s="292">
        <f>IFERROR(SUMIFS('Трудозатраты членов ВТК'!$G$17:$G$117,'Трудозатраты членов ВТК'!$D$17:$D$117,A:A),"-")</f>
        <v>0</v>
      </c>
      <c r="F347" s="293">
        <f>IFERROR(SUMIFS('Трудозатраты членов ВТК'!$F$464:$F$713,'Трудозатраты членов ВТК'!$D$464:$D$713,A:A),"-")</f>
        <v>0</v>
      </c>
      <c r="G347" s="302"/>
      <c r="H347" s="295">
        <f t="shared" si="48"/>
        <v>0</v>
      </c>
      <c r="I347" s="296">
        <f>IFERROR(ROUND(IF('Состав ВТК'!$K340=справочник!$A$5,IF(AND('Расчет участников НИР'!$A347='Состав ВТК'!$B340,$I$10='Состав ВТК'!$I340),$F347*$D347*VLOOKUP('Расчет участников НИР'!$B347,Расценка!$C$3:$E$13,3,FALSE),0),0),2),"-")</f>
        <v>0</v>
      </c>
      <c r="J347" s="296">
        <f>IFERROR(ROUND(IF('Состав ВТК'!$K340=справочник!$A$5,IF(AND('Расчет участников НИР'!$A347='Состав ВТК'!$B340,$J$10='Состав ВТК'!$I340),$F347*$D347*VLOOKUP('Расчет участников НИР'!$B347,Расценка!$C$3:$E$13,3,FALSE),0),0),2),"-")</f>
        <v>0</v>
      </c>
      <c r="K347" s="296">
        <f>IFERROR(ROUND(IF('Состав ВТК'!$K340=справочник!$A$5,IF(AND('Расчет участников НИР'!$A347='Состав ВТК'!$B340,$K$10='Состав ВТК'!$I340),$F347*$D347*VLOOKUP('Расчет участников НИР'!$B347,Расценка!$C$3:$E$13,3,FALSE),0),0),2),"-")</f>
        <v>0</v>
      </c>
      <c r="L347" s="297"/>
      <c r="M347" s="295">
        <f t="shared" si="49"/>
        <v>0</v>
      </c>
      <c r="N347" s="298">
        <f>IFERROR(ROUND(IF('Состав ВТК'!$K340=справочник!$A$5,(IF(AND($A347='Состав ВТК'!$B340,$N$10=$C347),$F347*$D347*VLOOKUP($B347,Расценка!$H$3:$K$9,4,FALSE),0)),0),2),"-")</f>
        <v>0</v>
      </c>
      <c r="O347" s="298">
        <f>IFERROR(ROUND(IF('Состав ВТК'!$K340=справочник!$A$5,(IF(AND($A347='Состав ВТК'!$B340,$O$10=$C347),$F347*$D347*VLOOKUP($B347,Расценка!$H$3:$K$9,4,FALSE),0)),0),2),"-")</f>
        <v>0</v>
      </c>
      <c r="P347" s="299">
        <f t="shared" si="50"/>
        <v>0</v>
      </c>
      <c r="Q347" s="300">
        <f t="shared" si="55"/>
        <v>0</v>
      </c>
      <c r="R347" s="300">
        <f t="shared" si="56"/>
        <v>0</v>
      </c>
      <c r="S347" s="295">
        <f t="shared" si="51"/>
        <v>0</v>
      </c>
      <c r="T347" s="298">
        <f>IFERROR(ROUND(IF(AND('Расчет участников НИР'!$A347='Состав ВТК'!$B340,'Расчет участников НИР'!$T$10='Состав ВТК'!$I340),$E347,0),2),"-")</f>
        <v>0</v>
      </c>
      <c r="U347" s="298">
        <f>IFERROR(ROUND(IF(AND('Расчет участников НИР'!$A347='Состав ВТК'!$B340,'Расчет участников НИР'!$U$10='Состав ВТК'!$I340),$E347,0),2),"-")</f>
        <v>0</v>
      </c>
      <c r="V347" s="298">
        <f>IFERROR(ROUND(IF(AND('Расчет участников НИР'!$A347='Состав ВТК'!$B340,'Расчет участников НИР'!$V$10='Состав ВТК'!$I340),$E347,0),2),"-")</f>
        <v>0</v>
      </c>
      <c r="W347" s="301" t="str">
        <f t="shared" si="52"/>
        <v>-</v>
      </c>
      <c r="X347" s="301" t="str">
        <f t="shared" si="53"/>
        <v>-</v>
      </c>
      <c r="Y347" s="301" t="str">
        <f t="shared" si="54"/>
        <v>-</v>
      </c>
    </row>
    <row r="348" spans="1:25" x14ac:dyDescent="0.25">
      <c r="A348" s="217">
        <f>'Состав ВТК'!B341</f>
        <v>0</v>
      </c>
      <c r="B348" s="290">
        <f>IFERROR(VLOOKUP($A348,Распределение!$B$13:$L$113,11,FALSE),"-")</f>
        <v>0</v>
      </c>
      <c r="C348" s="291" t="str">
        <f>IFERROR(IF(VLOOKUP($B348,Расценка!$H$3:$I$9,2,FALSE)="НС",Расценка!$T$11,Расценка!$T$12),"-")</f>
        <v>-</v>
      </c>
      <c r="D348" s="291">
        <f>IFERROR(INDEX(Распределение!$1:$1048576,MATCH($A348,Распределение!$B:$B,0),MATCH($D$8,Распределение!$9:$9,0)),"---")</f>
        <v>0</v>
      </c>
      <c r="E348" s="292">
        <f>IFERROR(SUMIFS('Трудозатраты членов ВТК'!$G$17:$G$117,'Трудозатраты членов ВТК'!$D$17:$D$117,A:A),"-")</f>
        <v>0</v>
      </c>
      <c r="F348" s="293">
        <f>IFERROR(SUMIFS('Трудозатраты членов ВТК'!$F$464:$F$713,'Трудозатраты членов ВТК'!$D$464:$D$713,A:A),"-")</f>
        <v>0</v>
      </c>
      <c r="G348" s="302"/>
      <c r="H348" s="295">
        <f t="shared" si="48"/>
        <v>0</v>
      </c>
      <c r="I348" s="296">
        <f>IFERROR(ROUND(IF('Состав ВТК'!$K341=справочник!$A$5,IF(AND('Расчет участников НИР'!$A348='Состав ВТК'!$B341,$I$10='Состав ВТК'!$I341),$F348*$D348*VLOOKUP('Расчет участников НИР'!$B348,Расценка!$C$3:$E$13,3,FALSE),0),0),2),"-")</f>
        <v>0</v>
      </c>
      <c r="J348" s="296">
        <f>IFERROR(ROUND(IF('Состав ВТК'!$K341=справочник!$A$5,IF(AND('Расчет участников НИР'!$A348='Состав ВТК'!$B341,$J$10='Состав ВТК'!$I341),$F348*$D348*VLOOKUP('Расчет участников НИР'!$B348,Расценка!$C$3:$E$13,3,FALSE),0),0),2),"-")</f>
        <v>0</v>
      </c>
      <c r="K348" s="296">
        <f>IFERROR(ROUND(IF('Состав ВТК'!$K341=справочник!$A$5,IF(AND('Расчет участников НИР'!$A348='Состав ВТК'!$B341,$K$10='Состав ВТК'!$I341),$F348*$D348*VLOOKUP('Расчет участников НИР'!$B348,Расценка!$C$3:$E$13,3,FALSE),0),0),2),"-")</f>
        <v>0</v>
      </c>
      <c r="L348" s="297"/>
      <c r="M348" s="295">
        <f t="shared" si="49"/>
        <v>0</v>
      </c>
      <c r="N348" s="298">
        <f>IFERROR(ROUND(IF('Состав ВТК'!$K341=справочник!$A$5,(IF(AND($A348='Состав ВТК'!$B341,$N$10=$C348),$F348*$D348*VLOOKUP($B348,Расценка!$H$3:$K$9,4,FALSE),0)),0),2),"-")</f>
        <v>0</v>
      </c>
      <c r="O348" s="298">
        <f>IFERROR(ROUND(IF('Состав ВТК'!$K341=справочник!$A$5,(IF(AND($A348='Состав ВТК'!$B341,$O$10=$C348),$F348*$D348*VLOOKUP($B348,Расценка!$H$3:$K$9,4,FALSE),0)),0),2),"-")</f>
        <v>0</v>
      </c>
      <c r="P348" s="299">
        <f t="shared" si="50"/>
        <v>0</v>
      </c>
      <c r="Q348" s="300">
        <f t="shared" si="55"/>
        <v>0</v>
      </c>
      <c r="R348" s="300">
        <f t="shared" si="56"/>
        <v>0</v>
      </c>
      <c r="S348" s="295">
        <f t="shared" si="51"/>
        <v>0</v>
      </c>
      <c r="T348" s="298">
        <f>IFERROR(ROUND(IF(AND('Расчет участников НИР'!$A348='Состав ВТК'!$B341,'Расчет участников НИР'!$T$10='Состав ВТК'!$I341),$E348,0),2),"-")</f>
        <v>0</v>
      </c>
      <c r="U348" s="298">
        <f>IFERROR(ROUND(IF(AND('Расчет участников НИР'!$A348='Состав ВТК'!$B341,'Расчет участников НИР'!$U$10='Состав ВТК'!$I341),$E348,0),2),"-")</f>
        <v>0</v>
      </c>
      <c r="V348" s="298">
        <f>IFERROR(ROUND(IF(AND('Расчет участников НИР'!$A348='Состав ВТК'!$B341,'Расчет участников НИР'!$V$10='Состав ВТК'!$I341),$E348,0),2),"-")</f>
        <v>0</v>
      </c>
      <c r="W348" s="301" t="str">
        <f t="shared" si="52"/>
        <v>-</v>
      </c>
      <c r="X348" s="301" t="str">
        <f t="shared" si="53"/>
        <v>-</v>
      </c>
      <c r="Y348" s="301" t="str">
        <f t="shared" si="54"/>
        <v>-</v>
      </c>
    </row>
    <row r="349" spans="1:25" x14ac:dyDescent="0.25">
      <c r="A349" s="217">
        <f>'Состав ВТК'!B342</f>
        <v>0</v>
      </c>
      <c r="B349" s="290">
        <f>IFERROR(VLOOKUP($A349,Распределение!$B$13:$L$113,11,FALSE),"-")</f>
        <v>0</v>
      </c>
      <c r="C349" s="291" t="str">
        <f>IFERROR(IF(VLOOKUP($B349,Расценка!$H$3:$I$9,2,FALSE)="НС",Расценка!$T$11,Расценка!$T$12),"-")</f>
        <v>-</v>
      </c>
      <c r="D349" s="291">
        <f>IFERROR(INDEX(Распределение!$1:$1048576,MATCH($A349,Распределение!$B:$B,0),MATCH($D$8,Распределение!$9:$9,0)),"---")</f>
        <v>0</v>
      </c>
      <c r="E349" s="292">
        <f>IFERROR(SUMIFS('Трудозатраты членов ВТК'!$G$17:$G$117,'Трудозатраты членов ВТК'!$D$17:$D$117,A:A),"-")</f>
        <v>0</v>
      </c>
      <c r="F349" s="293">
        <f>IFERROR(SUMIFS('Трудозатраты членов ВТК'!$F$464:$F$713,'Трудозатраты членов ВТК'!$D$464:$D$713,A:A),"-")</f>
        <v>0</v>
      </c>
      <c r="G349" s="302"/>
      <c r="H349" s="295">
        <f t="shared" si="48"/>
        <v>0</v>
      </c>
      <c r="I349" s="296">
        <f>IFERROR(ROUND(IF('Состав ВТК'!$K342=справочник!$A$5,IF(AND('Расчет участников НИР'!$A349='Состав ВТК'!$B342,$I$10='Состав ВТК'!$I342),$F349*$D349*VLOOKUP('Расчет участников НИР'!$B349,Расценка!$C$3:$E$13,3,FALSE),0),0),2),"-")</f>
        <v>0</v>
      </c>
      <c r="J349" s="296">
        <f>IFERROR(ROUND(IF('Состав ВТК'!$K342=справочник!$A$5,IF(AND('Расчет участников НИР'!$A349='Состав ВТК'!$B342,$J$10='Состав ВТК'!$I342),$F349*$D349*VLOOKUP('Расчет участников НИР'!$B349,Расценка!$C$3:$E$13,3,FALSE),0),0),2),"-")</f>
        <v>0</v>
      </c>
      <c r="K349" s="296">
        <f>IFERROR(ROUND(IF('Состав ВТК'!$K342=справочник!$A$5,IF(AND('Расчет участников НИР'!$A349='Состав ВТК'!$B342,$K$10='Состав ВТК'!$I342),$F349*$D349*VLOOKUP('Расчет участников НИР'!$B349,Расценка!$C$3:$E$13,3,FALSE),0),0),2),"-")</f>
        <v>0</v>
      </c>
      <c r="L349" s="297"/>
      <c r="M349" s="295">
        <f t="shared" si="49"/>
        <v>0</v>
      </c>
      <c r="N349" s="298">
        <f>IFERROR(ROUND(IF('Состав ВТК'!$K342=справочник!$A$5,(IF(AND($A349='Состав ВТК'!$B342,$N$10=$C349),$F349*$D349*VLOOKUP($B349,Расценка!$H$3:$K$9,4,FALSE),0)),0),2),"-")</f>
        <v>0</v>
      </c>
      <c r="O349" s="298">
        <f>IFERROR(ROUND(IF('Состав ВТК'!$K342=справочник!$A$5,(IF(AND($A349='Состав ВТК'!$B342,$O$10=$C349),$F349*$D349*VLOOKUP($B349,Расценка!$H$3:$K$9,4,FALSE),0)),0),2),"-")</f>
        <v>0</v>
      </c>
      <c r="P349" s="299">
        <f t="shared" si="50"/>
        <v>0</v>
      </c>
      <c r="Q349" s="300">
        <f t="shared" si="55"/>
        <v>0</v>
      </c>
      <c r="R349" s="300">
        <f t="shared" si="56"/>
        <v>0</v>
      </c>
      <c r="S349" s="295">
        <f t="shared" si="51"/>
        <v>0</v>
      </c>
      <c r="T349" s="298">
        <f>IFERROR(ROUND(IF(AND('Расчет участников НИР'!$A349='Состав ВТК'!$B342,'Расчет участников НИР'!$T$10='Состав ВТК'!$I342),$E349,0),2),"-")</f>
        <v>0</v>
      </c>
      <c r="U349" s="298">
        <f>IFERROR(ROUND(IF(AND('Расчет участников НИР'!$A349='Состав ВТК'!$B342,'Расчет участников НИР'!$U$10='Состав ВТК'!$I342),$E349,0),2),"-")</f>
        <v>0</v>
      </c>
      <c r="V349" s="298">
        <f>IFERROR(ROUND(IF(AND('Расчет участников НИР'!$A349='Состав ВТК'!$B342,'Расчет участников НИР'!$V$10='Состав ВТК'!$I342),$E349,0),2),"-")</f>
        <v>0</v>
      </c>
      <c r="W349" s="301" t="str">
        <f t="shared" si="52"/>
        <v>-</v>
      </c>
      <c r="X349" s="301" t="str">
        <f t="shared" si="53"/>
        <v>-</v>
      </c>
      <c r="Y349" s="301" t="str">
        <f t="shared" si="54"/>
        <v>-</v>
      </c>
    </row>
    <row r="350" spans="1:25" x14ac:dyDescent="0.25">
      <c r="A350" s="217">
        <f>'Состав ВТК'!B343</f>
        <v>0</v>
      </c>
      <c r="B350" s="290">
        <f>IFERROR(VLOOKUP($A350,Распределение!$B$13:$L$113,11,FALSE),"-")</f>
        <v>0</v>
      </c>
      <c r="C350" s="291" t="str">
        <f>IFERROR(IF(VLOOKUP($B350,Расценка!$H$3:$I$9,2,FALSE)="НС",Расценка!$T$11,Расценка!$T$12),"-")</f>
        <v>-</v>
      </c>
      <c r="D350" s="291">
        <f>IFERROR(INDEX(Распределение!$1:$1048576,MATCH($A350,Распределение!$B:$B,0),MATCH($D$8,Распределение!$9:$9,0)),"---")</f>
        <v>0</v>
      </c>
      <c r="E350" s="292">
        <f>IFERROR(SUMIFS('Трудозатраты членов ВТК'!$G$17:$G$117,'Трудозатраты членов ВТК'!$D$17:$D$117,A:A),"-")</f>
        <v>0</v>
      </c>
      <c r="F350" s="293">
        <f>IFERROR(SUMIFS('Трудозатраты членов ВТК'!$F$464:$F$713,'Трудозатраты членов ВТК'!$D$464:$D$713,A:A),"-")</f>
        <v>0</v>
      </c>
      <c r="G350" s="302"/>
      <c r="H350" s="295">
        <f t="shared" si="48"/>
        <v>0</v>
      </c>
      <c r="I350" s="296">
        <f>IFERROR(ROUND(IF('Состав ВТК'!$K343=справочник!$A$5,IF(AND('Расчет участников НИР'!$A350='Состав ВТК'!$B343,$I$10='Состав ВТК'!$I343),$F350*$D350*VLOOKUP('Расчет участников НИР'!$B350,Расценка!$C$3:$E$13,3,FALSE),0),0),2),"-")</f>
        <v>0</v>
      </c>
      <c r="J350" s="296">
        <f>IFERROR(ROUND(IF('Состав ВТК'!$K343=справочник!$A$5,IF(AND('Расчет участников НИР'!$A350='Состав ВТК'!$B343,$J$10='Состав ВТК'!$I343),$F350*$D350*VLOOKUP('Расчет участников НИР'!$B350,Расценка!$C$3:$E$13,3,FALSE),0),0),2),"-")</f>
        <v>0</v>
      </c>
      <c r="K350" s="296">
        <f>IFERROR(ROUND(IF('Состав ВТК'!$K343=справочник!$A$5,IF(AND('Расчет участников НИР'!$A350='Состав ВТК'!$B343,$K$10='Состав ВТК'!$I343),$F350*$D350*VLOOKUP('Расчет участников НИР'!$B350,Расценка!$C$3:$E$13,3,FALSE),0),0),2),"-")</f>
        <v>0</v>
      </c>
      <c r="L350" s="297"/>
      <c r="M350" s="295">
        <f t="shared" si="49"/>
        <v>0</v>
      </c>
      <c r="N350" s="298">
        <f>IFERROR(ROUND(IF('Состав ВТК'!$K343=справочник!$A$5,(IF(AND($A350='Состав ВТК'!$B343,$N$10=$C350),$F350*$D350*VLOOKUP($B350,Расценка!$H$3:$K$9,4,FALSE),0)),0),2),"-")</f>
        <v>0</v>
      </c>
      <c r="O350" s="298">
        <f>IFERROR(ROUND(IF('Состав ВТК'!$K343=справочник!$A$5,(IF(AND($A350='Состав ВТК'!$B343,$O$10=$C350),$F350*$D350*VLOOKUP($B350,Расценка!$H$3:$K$9,4,FALSE),0)),0),2),"-")</f>
        <v>0</v>
      </c>
      <c r="P350" s="299">
        <f t="shared" si="50"/>
        <v>0</v>
      </c>
      <c r="Q350" s="300">
        <f t="shared" si="55"/>
        <v>0</v>
      </c>
      <c r="R350" s="300">
        <f t="shared" si="56"/>
        <v>0</v>
      </c>
      <c r="S350" s="295">
        <f t="shared" si="51"/>
        <v>0</v>
      </c>
      <c r="T350" s="298">
        <f>IFERROR(ROUND(IF(AND('Расчет участников НИР'!$A350='Состав ВТК'!$B343,'Расчет участников НИР'!$T$10='Состав ВТК'!$I343),$E350,0),2),"-")</f>
        <v>0</v>
      </c>
      <c r="U350" s="298">
        <f>IFERROR(ROUND(IF(AND('Расчет участников НИР'!$A350='Состав ВТК'!$B343,'Расчет участников НИР'!$U$10='Состав ВТК'!$I343),$E350,0),2),"-")</f>
        <v>0</v>
      </c>
      <c r="V350" s="298">
        <f>IFERROR(ROUND(IF(AND('Расчет участников НИР'!$A350='Состав ВТК'!$B343,'Расчет участников НИР'!$V$10='Состав ВТК'!$I343),$E350,0),2),"-")</f>
        <v>0</v>
      </c>
      <c r="W350" s="301" t="str">
        <f t="shared" si="52"/>
        <v>-</v>
      </c>
      <c r="X350" s="301" t="str">
        <f t="shared" si="53"/>
        <v>-</v>
      </c>
      <c r="Y350" s="301" t="str">
        <f t="shared" si="54"/>
        <v>-</v>
      </c>
    </row>
    <row r="351" spans="1:25" x14ac:dyDescent="0.25">
      <c r="A351" s="217">
        <f>'Состав ВТК'!B344</f>
        <v>0</v>
      </c>
      <c r="B351" s="290">
        <f>IFERROR(VLOOKUP($A351,Распределение!$B$13:$L$113,11,FALSE),"-")</f>
        <v>0</v>
      </c>
      <c r="C351" s="291" t="str">
        <f>IFERROR(IF(VLOOKUP($B351,Расценка!$H$3:$I$9,2,FALSE)="НС",Расценка!$T$11,Расценка!$T$12),"-")</f>
        <v>-</v>
      </c>
      <c r="D351" s="291">
        <f>IFERROR(INDEX(Распределение!$1:$1048576,MATCH($A351,Распределение!$B:$B,0),MATCH($D$8,Распределение!$9:$9,0)),"---")</f>
        <v>0</v>
      </c>
      <c r="E351" s="292">
        <f>IFERROR(SUMIFS('Трудозатраты членов ВТК'!$G$17:$G$117,'Трудозатраты членов ВТК'!$D$17:$D$117,A:A),"-")</f>
        <v>0</v>
      </c>
      <c r="F351" s="293">
        <f>IFERROR(SUMIFS('Трудозатраты членов ВТК'!$F$464:$F$713,'Трудозатраты членов ВТК'!$D$464:$D$713,A:A),"-")</f>
        <v>0</v>
      </c>
      <c r="G351" s="302"/>
      <c r="H351" s="295">
        <f t="shared" si="48"/>
        <v>0</v>
      </c>
      <c r="I351" s="296">
        <f>IFERROR(ROUND(IF('Состав ВТК'!$K344=справочник!$A$5,IF(AND('Расчет участников НИР'!$A351='Состав ВТК'!$B344,$I$10='Состав ВТК'!$I344),$F351*$D351*VLOOKUP('Расчет участников НИР'!$B351,Расценка!$C$3:$E$13,3,FALSE),0),0),2),"-")</f>
        <v>0</v>
      </c>
      <c r="J351" s="296">
        <f>IFERROR(ROUND(IF('Состав ВТК'!$K344=справочник!$A$5,IF(AND('Расчет участников НИР'!$A351='Состав ВТК'!$B344,$J$10='Состав ВТК'!$I344),$F351*$D351*VLOOKUP('Расчет участников НИР'!$B351,Расценка!$C$3:$E$13,3,FALSE),0),0),2),"-")</f>
        <v>0</v>
      </c>
      <c r="K351" s="296">
        <f>IFERROR(ROUND(IF('Состав ВТК'!$K344=справочник!$A$5,IF(AND('Расчет участников НИР'!$A351='Состав ВТК'!$B344,$K$10='Состав ВТК'!$I344),$F351*$D351*VLOOKUP('Расчет участников НИР'!$B351,Расценка!$C$3:$E$13,3,FALSE),0),0),2),"-")</f>
        <v>0</v>
      </c>
      <c r="L351" s="297"/>
      <c r="M351" s="295">
        <f t="shared" si="49"/>
        <v>0</v>
      </c>
      <c r="N351" s="298">
        <f>IFERROR(ROUND(IF('Состав ВТК'!$K344=справочник!$A$5,(IF(AND($A351='Состав ВТК'!$B344,$N$10=$C351),$F351*$D351*VLOOKUP($B351,Расценка!$H$3:$K$9,4,FALSE),0)),0),2),"-")</f>
        <v>0</v>
      </c>
      <c r="O351" s="298">
        <f>IFERROR(ROUND(IF('Состав ВТК'!$K344=справочник!$A$5,(IF(AND($A351='Состав ВТК'!$B344,$O$10=$C351),$F351*$D351*VLOOKUP($B351,Расценка!$H$3:$K$9,4,FALSE),0)),0),2),"-")</f>
        <v>0</v>
      </c>
      <c r="P351" s="299">
        <f t="shared" si="50"/>
        <v>0</v>
      </c>
      <c r="Q351" s="300">
        <f t="shared" si="55"/>
        <v>0</v>
      </c>
      <c r="R351" s="300">
        <f t="shared" si="56"/>
        <v>0</v>
      </c>
      <c r="S351" s="295">
        <f t="shared" si="51"/>
        <v>0</v>
      </c>
      <c r="T351" s="298">
        <f>IFERROR(ROUND(IF(AND('Расчет участников НИР'!$A351='Состав ВТК'!$B344,'Расчет участников НИР'!$T$10='Состав ВТК'!$I344),$E351,0),2),"-")</f>
        <v>0</v>
      </c>
      <c r="U351" s="298">
        <f>IFERROR(ROUND(IF(AND('Расчет участников НИР'!$A351='Состав ВТК'!$B344,'Расчет участников НИР'!$U$10='Состав ВТК'!$I344),$E351,0),2),"-")</f>
        <v>0</v>
      </c>
      <c r="V351" s="298">
        <f>IFERROR(ROUND(IF(AND('Расчет участников НИР'!$A351='Состав ВТК'!$B344,'Расчет участников НИР'!$V$10='Состав ВТК'!$I344),$E351,0),2),"-")</f>
        <v>0</v>
      </c>
      <c r="W351" s="301" t="str">
        <f t="shared" si="52"/>
        <v>-</v>
      </c>
      <c r="X351" s="301" t="str">
        <f t="shared" si="53"/>
        <v>-</v>
      </c>
      <c r="Y351" s="301" t="str">
        <f t="shared" si="54"/>
        <v>-</v>
      </c>
    </row>
    <row r="352" spans="1:25" x14ac:dyDescent="0.25">
      <c r="A352" s="217">
        <f>'Состав ВТК'!B345</f>
        <v>0</v>
      </c>
      <c r="B352" s="290">
        <f>IFERROR(VLOOKUP($A352,Распределение!$B$13:$L$113,11,FALSE),"-")</f>
        <v>0</v>
      </c>
      <c r="C352" s="291" t="str">
        <f>IFERROR(IF(VLOOKUP($B352,Расценка!$H$3:$I$9,2,FALSE)="НС",Расценка!$T$11,Расценка!$T$12),"-")</f>
        <v>-</v>
      </c>
      <c r="D352" s="291">
        <f>IFERROR(INDEX(Распределение!$1:$1048576,MATCH($A352,Распределение!$B:$B,0),MATCH($D$8,Распределение!$9:$9,0)),"---")</f>
        <v>0</v>
      </c>
      <c r="E352" s="292">
        <f>IFERROR(SUMIFS('Трудозатраты членов ВТК'!$G$17:$G$117,'Трудозатраты членов ВТК'!$D$17:$D$117,A:A),"-")</f>
        <v>0</v>
      </c>
      <c r="F352" s="293">
        <f>IFERROR(SUMIFS('Трудозатраты членов ВТК'!$F$464:$F$713,'Трудозатраты членов ВТК'!$D$464:$D$713,A:A),"-")</f>
        <v>0</v>
      </c>
      <c r="G352" s="302"/>
      <c r="H352" s="295">
        <f t="shared" si="48"/>
        <v>0</v>
      </c>
      <c r="I352" s="296">
        <f>IFERROR(ROUND(IF('Состав ВТК'!$K345=справочник!$A$5,IF(AND('Расчет участников НИР'!$A352='Состав ВТК'!$B345,$I$10='Состав ВТК'!$I345),$F352*$D352*VLOOKUP('Расчет участников НИР'!$B352,Расценка!$C$3:$E$13,3,FALSE),0),0),2),"-")</f>
        <v>0</v>
      </c>
      <c r="J352" s="296">
        <f>IFERROR(ROUND(IF('Состав ВТК'!$K345=справочник!$A$5,IF(AND('Расчет участников НИР'!$A352='Состав ВТК'!$B345,$J$10='Состав ВТК'!$I345),$F352*$D352*VLOOKUP('Расчет участников НИР'!$B352,Расценка!$C$3:$E$13,3,FALSE),0),0),2),"-")</f>
        <v>0</v>
      </c>
      <c r="K352" s="296">
        <f>IFERROR(ROUND(IF('Состав ВТК'!$K345=справочник!$A$5,IF(AND('Расчет участников НИР'!$A352='Состав ВТК'!$B345,$K$10='Состав ВТК'!$I345),$F352*$D352*VLOOKUP('Расчет участников НИР'!$B352,Расценка!$C$3:$E$13,3,FALSE),0),0),2),"-")</f>
        <v>0</v>
      </c>
      <c r="L352" s="297"/>
      <c r="M352" s="295">
        <f t="shared" si="49"/>
        <v>0</v>
      </c>
      <c r="N352" s="298">
        <f>IFERROR(ROUND(IF('Состав ВТК'!$K345=справочник!$A$5,(IF(AND($A352='Состав ВТК'!$B345,$N$10=$C352),$F352*$D352*VLOOKUP($B352,Расценка!$H$3:$K$9,4,FALSE),0)),0),2),"-")</f>
        <v>0</v>
      </c>
      <c r="O352" s="298">
        <f>IFERROR(ROUND(IF('Состав ВТК'!$K345=справочник!$A$5,(IF(AND($A352='Состав ВТК'!$B345,$O$10=$C352),$F352*$D352*VLOOKUP($B352,Расценка!$H$3:$K$9,4,FALSE),0)),0),2),"-")</f>
        <v>0</v>
      </c>
      <c r="P352" s="299">
        <f t="shared" si="50"/>
        <v>0</v>
      </c>
      <c r="Q352" s="300">
        <f t="shared" si="55"/>
        <v>0</v>
      </c>
      <c r="R352" s="300">
        <f t="shared" si="56"/>
        <v>0</v>
      </c>
      <c r="S352" s="295">
        <f t="shared" si="51"/>
        <v>0</v>
      </c>
      <c r="T352" s="298">
        <f>IFERROR(ROUND(IF(AND('Расчет участников НИР'!$A352='Состав ВТК'!$B345,'Расчет участников НИР'!$T$10='Состав ВТК'!$I345),$E352,0),2),"-")</f>
        <v>0</v>
      </c>
      <c r="U352" s="298">
        <f>IFERROR(ROUND(IF(AND('Расчет участников НИР'!$A352='Состав ВТК'!$B345,'Расчет участников НИР'!$U$10='Состав ВТК'!$I345),$E352,0),2),"-")</f>
        <v>0</v>
      </c>
      <c r="V352" s="298">
        <f>IFERROR(ROUND(IF(AND('Расчет участников НИР'!$A352='Состав ВТК'!$B345,'Расчет участников НИР'!$V$10='Состав ВТК'!$I345),$E352,0),2),"-")</f>
        <v>0</v>
      </c>
      <c r="W352" s="301" t="str">
        <f t="shared" si="52"/>
        <v>-</v>
      </c>
      <c r="X352" s="301" t="str">
        <f t="shared" si="53"/>
        <v>-</v>
      </c>
      <c r="Y352" s="301" t="str">
        <f t="shared" si="54"/>
        <v>-</v>
      </c>
    </row>
    <row r="353" spans="1:25" x14ac:dyDescent="0.25">
      <c r="A353" s="217">
        <f>'Состав ВТК'!B346</f>
        <v>0</v>
      </c>
      <c r="B353" s="290">
        <f>IFERROR(VLOOKUP($A353,Распределение!$B$13:$L$113,11,FALSE),"-")</f>
        <v>0</v>
      </c>
      <c r="C353" s="291" t="str">
        <f>IFERROR(IF(VLOOKUP($B353,Расценка!$H$3:$I$9,2,FALSE)="НС",Расценка!$T$11,Расценка!$T$12),"-")</f>
        <v>-</v>
      </c>
      <c r="D353" s="291">
        <f>IFERROR(INDEX(Распределение!$1:$1048576,MATCH($A353,Распределение!$B:$B,0),MATCH($D$8,Распределение!$9:$9,0)),"---")</f>
        <v>0</v>
      </c>
      <c r="E353" s="292">
        <f>IFERROR(SUMIFS('Трудозатраты членов ВТК'!$G$17:$G$117,'Трудозатраты членов ВТК'!$D$17:$D$117,A:A),"-")</f>
        <v>0</v>
      </c>
      <c r="F353" s="293">
        <f>IFERROR(SUMIFS('Трудозатраты членов ВТК'!$F$464:$F$713,'Трудозатраты членов ВТК'!$D$464:$D$713,A:A),"-")</f>
        <v>0</v>
      </c>
      <c r="G353" s="302"/>
      <c r="H353" s="295">
        <f t="shared" si="48"/>
        <v>0</v>
      </c>
      <c r="I353" s="296">
        <f>IFERROR(ROUND(IF('Состав ВТК'!$K346=справочник!$A$5,IF(AND('Расчет участников НИР'!$A353='Состав ВТК'!$B346,$I$10='Состав ВТК'!$I346),$F353*$D353*VLOOKUP('Расчет участников НИР'!$B353,Расценка!$C$3:$E$13,3,FALSE),0),0),2),"-")</f>
        <v>0</v>
      </c>
      <c r="J353" s="296">
        <f>IFERROR(ROUND(IF('Состав ВТК'!$K346=справочник!$A$5,IF(AND('Расчет участников НИР'!$A353='Состав ВТК'!$B346,$J$10='Состав ВТК'!$I346),$F353*$D353*VLOOKUP('Расчет участников НИР'!$B353,Расценка!$C$3:$E$13,3,FALSE),0),0),2),"-")</f>
        <v>0</v>
      </c>
      <c r="K353" s="296">
        <f>IFERROR(ROUND(IF('Состав ВТК'!$K346=справочник!$A$5,IF(AND('Расчет участников НИР'!$A353='Состав ВТК'!$B346,$K$10='Состав ВТК'!$I346),$F353*$D353*VLOOKUP('Расчет участников НИР'!$B353,Расценка!$C$3:$E$13,3,FALSE),0),0),2),"-")</f>
        <v>0</v>
      </c>
      <c r="L353" s="297"/>
      <c r="M353" s="295">
        <f t="shared" si="49"/>
        <v>0</v>
      </c>
      <c r="N353" s="298">
        <f>IFERROR(ROUND(IF('Состав ВТК'!$K346=справочник!$A$5,(IF(AND($A353='Состав ВТК'!$B346,$N$10=$C353),$F353*$D353*VLOOKUP($B353,Расценка!$H$3:$K$9,4,FALSE),0)),0),2),"-")</f>
        <v>0</v>
      </c>
      <c r="O353" s="298">
        <f>IFERROR(ROUND(IF('Состав ВТК'!$K346=справочник!$A$5,(IF(AND($A353='Состав ВТК'!$B346,$O$10=$C353),$F353*$D353*VLOOKUP($B353,Расценка!$H$3:$K$9,4,FALSE),0)),0),2),"-")</f>
        <v>0</v>
      </c>
      <c r="P353" s="299">
        <f t="shared" si="50"/>
        <v>0</v>
      </c>
      <c r="Q353" s="300">
        <f t="shared" si="55"/>
        <v>0</v>
      </c>
      <c r="R353" s="300">
        <f t="shared" si="56"/>
        <v>0</v>
      </c>
      <c r="S353" s="295">
        <f t="shared" si="51"/>
        <v>0</v>
      </c>
      <c r="T353" s="298">
        <f>IFERROR(ROUND(IF(AND('Расчет участников НИР'!$A353='Состав ВТК'!$B346,'Расчет участников НИР'!$T$10='Состав ВТК'!$I346),$E353,0),2),"-")</f>
        <v>0</v>
      </c>
      <c r="U353" s="298">
        <f>IFERROR(ROUND(IF(AND('Расчет участников НИР'!$A353='Состав ВТК'!$B346,'Расчет участников НИР'!$U$10='Состав ВТК'!$I346),$E353,0),2),"-")</f>
        <v>0</v>
      </c>
      <c r="V353" s="298">
        <f>IFERROR(ROUND(IF(AND('Расчет участников НИР'!$A353='Состав ВТК'!$B346,'Расчет участников НИР'!$V$10='Состав ВТК'!$I346),$E353,0),2),"-")</f>
        <v>0</v>
      </c>
      <c r="W353" s="301" t="str">
        <f t="shared" si="52"/>
        <v>-</v>
      </c>
      <c r="X353" s="301" t="str">
        <f t="shared" si="53"/>
        <v>-</v>
      </c>
      <c r="Y353" s="301" t="str">
        <f t="shared" si="54"/>
        <v>-</v>
      </c>
    </row>
    <row r="354" spans="1:25" x14ac:dyDescent="0.25">
      <c r="A354" s="217">
        <f>'Состав ВТК'!B347</f>
        <v>0</v>
      </c>
      <c r="B354" s="290">
        <f>IFERROR(VLOOKUP($A354,Распределение!$B$13:$L$113,11,FALSE),"-")</f>
        <v>0</v>
      </c>
      <c r="C354" s="291" t="str">
        <f>IFERROR(IF(VLOOKUP($B354,Расценка!$H$3:$I$9,2,FALSE)="НС",Расценка!$T$11,Расценка!$T$12),"-")</f>
        <v>-</v>
      </c>
      <c r="D354" s="291">
        <f>IFERROR(INDEX(Распределение!$1:$1048576,MATCH($A354,Распределение!$B:$B,0),MATCH($D$8,Распределение!$9:$9,0)),"---")</f>
        <v>0</v>
      </c>
      <c r="E354" s="292">
        <f>IFERROR(SUMIFS('Трудозатраты членов ВТК'!$G$17:$G$117,'Трудозатраты членов ВТК'!$D$17:$D$117,A:A),"-")</f>
        <v>0</v>
      </c>
      <c r="F354" s="293">
        <f>IFERROR(SUMIFS('Трудозатраты членов ВТК'!$F$464:$F$713,'Трудозатраты членов ВТК'!$D$464:$D$713,A:A),"-")</f>
        <v>0</v>
      </c>
      <c r="G354" s="302"/>
      <c r="H354" s="295">
        <f t="shared" si="48"/>
        <v>0</v>
      </c>
      <c r="I354" s="296">
        <f>IFERROR(ROUND(IF('Состав ВТК'!$K347=справочник!$A$5,IF(AND('Расчет участников НИР'!$A354='Состав ВТК'!$B347,$I$10='Состав ВТК'!$I347),$F354*$D354*VLOOKUP('Расчет участников НИР'!$B354,Расценка!$C$3:$E$13,3,FALSE),0),0),2),"-")</f>
        <v>0</v>
      </c>
      <c r="J354" s="296">
        <f>IFERROR(ROUND(IF('Состав ВТК'!$K347=справочник!$A$5,IF(AND('Расчет участников НИР'!$A354='Состав ВТК'!$B347,$J$10='Состав ВТК'!$I347),$F354*$D354*VLOOKUP('Расчет участников НИР'!$B354,Расценка!$C$3:$E$13,3,FALSE),0),0),2),"-")</f>
        <v>0</v>
      </c>
      <c r="K354" s="296">
        <f>IFERROR(ROUND(IF('Состав ВТК'!$K347=справочник!$A$5,IF(AND('Расчет участников НИР'!$A354='Состав ВТК'!$B347,$K$10='Состав ВТК'!$I347),$F354*$D354*VLOOKUP('Расчет участников НИР'!$B354,Расценка!$C$3:$E$13,3,FALSE),0),0),2),"-")</f>
        <v>0</v>
      </c>
      <c r="L354" s="297"/>
      <c r="M354" s="295">
        <f t="shared" si="49"/>
        <v>0</v>
      </c>
      <c r="N354" s="298">
        <f>IFERROR(ROUND(IF('Состав ВТК'!$K347=справочник!$A$5,(IF(AND($A354='Состав ВТК'!$B347,$N$10=$C354),$F354*$D354*VLOOKUP($B354,Расценка!$H$3:$K$9,4,FALSE),0)),0),2),"-")</f>
        <v>0</v>
      </c>
      <c r="O354" s="298">
        <f>IFERROR(ROUND(IF('Состав ВТК'!$K347=справочник!$A$5,(IF(AND($A354='Состав ВТК'!$B347,$O$10=$C354),$F354*$D354*VLOOKUP($B354,Расценка!$H$3:$K$9,4,FALSE),0)),0),2),"-")</f>
        <v>0</v>
      </c>
      <c r="P354" s="299">
        <f t="shared" si="50"/>
        <v>0</v>
      </c>
      <c r="Q354" s="300">
        <f t="shared" si="55"/>
        <v>0</v>
      </c>
      <c r="R354" s="300">
        <f t="shared" si="56"/>
        <v>0</v>
      </c>
      <c r="S354" s="295">
        <f t="shared" si="51"/>
        <v>0</v>
      </c>
      <c r="T354" s="298">
        <f>IFERROR(ROUND(IF(AND('Расчет участников НИР'!$A354='Состав ВТК'!$B347,'Расчет участников НИР'!$T$10='Состав ВТК'!$I347),$E354,0),2),"-")</f>
        <v>0</v>
      </c>
      <c r="U354" s="298">
        <f>IFERROR(ROUND(IF(AND('Расчет участников НИР'!$A354='Состав ВТК'!$B347,'Расчет участников НИР'!$U$10='Состав ВТК'!$I347),$E354,0),2),"-")</f>
        <v>0</v>
      </c>
      <c r="V354" s="298">
        <f>IFERROR(ROUND(IF(AND('Расчет участников НИР'!$A354='Состав ВТК'!$B347,'Расчет участников НИР'!$V$10='Состав ВТК'!$I347),$E354,0),2),"-")</f>
        <v>0</v>
      </c>
      <c r="W354" s="301" t="str">
        <f t="shared" si="52"/>
        <v>-</v>
      </c>
      <c r="X354" s="301" t="str">
        <f t="shared" si="53"/>
        <v>-</v>
      </c>
      <c r="Y354" s="301" t="str">
        <f t="shared" si="54"/>
        <v>-</v>
      </c>
    </row>
    <row r="355" spans="1:25" x14ac:dyDescent="0.25">
      <c r="A355" s="217">
        <f>'Состав ВТК'!B348</f>
        <v>0</v>
      </c>
      <c r="B355" s="290">
        <f>IFERROR(VLOOKUP($A355,Распределение!$B$13:$L$113,11,FALSE),"-")</f>
        <v>0</v>
      </c>
      <c r="C355" s="291" t="str">
        <f>IFERROR(IF(VLOOKUP($B355,Расценка!$H$3:$I$9,2,FALSE)="НС",Расценка!$T$11,Расценка!$T$12),"-")</f>
        <v>-</v>
      </c>
      <c r="D355" s="291">
        <f>IFERROR(INDEX(Распределение!$1:$1048576,MATCH($A355,Распределение!$B:$B,0),MATCH($D$8,Распределение!$9:$9,0)),"---")</f>
        <v>0</v>
      </c>
      <c r="E355" s="292">
        <f>IFERROR(SUMIFS('Трудозатраты членов ВТК'!$G$17:$G$117,'Трудозатраты членов ВТК'!$D$17:$D$117,A:A),"-")</f>
        <v>0</v>
      </c>
      <c r="F355" s="293">
        <f>IFERROR(SUMIFS('Трудозатраты членов ВТК'!$F$464:$F$713,'Трудозатраты членов ВТК'!$D$464:$D$713,A:A),"-")</f>
        <v>0</v>
      </c>
      <c r="G355" s="302"/>
      <c r="H355" s="295">
        <f t="shared" si="48"/>
        <v>0</v>
      </c>
      <c r="I355" s="296">
        <f>IFERROR(ROUND(IF('Состав ВТК'!$K348=справочник!$A$5,IF(AND('Расчет участников НИР'!$A355='Состав ВТК'!$B348,$I$10='Состав ВТК'!$I348),$F355*$D355*VLOOKUP('Расчет участников НИР'!$B355,Расценка!$C$3:$E$13,3,FALSE),0),0),2),"-")</f>
        <v>0</v>
      </c>
      <c r="J355" s="296">
        <f>IFERROR(ROUND(IF('Состав ВТК'!$K348=справочник!$A$5,IF(AND('Расчет участников НИР'!$A355='Состав ВТК'!$B348,$J$10='Состав ВТК'!$I348),$F355*$D355*VLOOKUP('Расчет участников НИР'!$B355,Расценка!$C$3:$E$13,3,FALSE),0),0),2),"-")</f>
        <v>0</v>
      </c>
      <c r="K355" s="296">
        <f>IFERROR(ROUND(IF('Состав ВТК'!$K348=справочник!$A$5,IF(AND('Расчет участников НИР'!$A355='Состав ВТК'!$B348,$K$10='Состав ВТК'!$I348),$F355*$D355*VLOOKUP('Расчет участников НИР'!$B355,Расценка!$C$3:$E$13,3,FALSE),0),0),2),"-")</f>
        <v>0</v>
      </c>
      <c r="L355" s="297"/>
      <c r="M355" s="295">
        <f t="shared" si="49"/>
        <v>0</v>
      </c>
      <c r="N355" s="298">
        <f>IFERROR(ROUND(IF('Состав ВТК'!$K348=справочник!$A$5,(IF(AND($A355='Состав ВТК'!$B348,$N$10=$C355),$F355*$D355*VLOOKUP($B355,Расценка!$H$3:$K$9,4,FALSE),0)),0),2),"-")</f>
        <v>0</v>
      </c>
      <c r="O355" s="298">
        <f>IFERROR(ROUND(IF('Состав ВТК'!$K348=справочник!$A$5,(IF(AND($A355='Состав ВТК'!$B348,$O$10=$C355),$F355*$D355*VLOOKUP($B355,Расценка!$H$3:$K$9,4,FALSE),0)),0),2),"-")</f>
        <v>0</v>
      </c>
      <c r="P355" s="299">
        <f t="shared" si="50"/>
        <v>0</v>
      </c>
      <c r="Q355" s="300">
        <f t="shared" si="55"/>
        <v>0</v>
      </c>
      <c r="R355" s="300">
        <f t="shared" si="56"/>
        <v>0</v>
      </c>
      <c r="S355" s="295">
        <f t="shared" si="51"/>
        <v>0</v>
      </c>
      <c r="T355" s="298">
        <f>IFERROR(ROUND(IF(AND('Расчет участников НИР'!$A355='Состав ВТК'!$B348,'Расчет участников НИР'!$T$10='Состав ВТК'!$I348),$E355,0),2),"-")</f>
        <v>0</v>
      </c>
      <c r="U355" s="298">
        <f>IFERROR(ROUND(IF(AND('Расчет участников НИР'!$A355='Состав ВТК'!$B348,'Расчет участников НИР'!$U$10='Состав ВТК'!$I348),$E355,0),2),"-")</f>
        <v>0</v>
      </c>
      <c r="V355" s="298">
        <f>IFERROR(ROUND(IF(AND('Расчет участников НИР'!$A355='Состав ВТК'!$B348,'Расчет участников НИР'!$V$10='Состав ВТК'!$I348),$E355,0),2),"-")</f>
        <v>0</v>
      </c>
      <c r="W355" s="301" t="str">
        <f t="shared" si="52"/>
        <v>-</v>
      </c>
      <c r="X355" s="301" t="str">
        <f t="shared" si="53"/>
        <v>-</v>
      </c>
      <c r="Y355" s="301" t="str">
        <f t="shared" si="54"/>
        <v>-</v>
      </c>
    </row>
    <row r="356" spans="1:25" x14ac:dyDescent="0.25">
      <c r="A356" s="217">
        <f>'Состав ВТК'!B349</f>
        <v>0</v>
      </c>
      <c r="B356" s="290">
        <f>IFERROR(VLOOKUP($A356,Распределение!$B$13:$L$113,11,FALSE),"-")</f>
        <v>0</v>
      </c>
      <c r="C356" s="291" t="str">
        <f>IFERROR(IF(VLOOKUP($B356,Расценка!$H$3:$I$9,2,FALSE)="НС",Расценка!$T$11,Расценка!$T$12),"-")</f>
        <v>-</v>
      </c>
      <c r="D356" s="291">
        <f>IFERROR(INDEX(Распределение!$1:$1048576,MATCH($A356,Распределение!$B:$B,0),MATCH($D$8,Распределение!$9:$9,0)),"---")</f>
        <v>0</v>
      </c>
      <c r="E356" s="292">
        <f>IFERROR(SUMIFS('Трудозатраты членов ВТК'!$G$17:$G$117,'Трудозатраты членов ВТК'!$D$17:$D$117,A:A),"-")</f>
        <v>0</v>
      </c>
      <c r="F356" s="293">
        <f>IFERROR(SUMIFS('Трудозатраты членов ВТК'!$F$464:$F$713,'Трудозатраты членов ВТК'!$D$464:$D$713,A:A),"-")</f>
        <v>0</v>
      </c>
      <c r="G356" s="302"/>
      <c r="H356" s="295">
        <f t="shared" si="48"/>
        <v>0</v>
      </c>
      <c r="I356" s="296">
        <f>IFERROR(ROUND(IF('Состав ВТК'!$K349=справочник!$A$5,IF(AND('Расчет участников НИР'!$A356='Состав ВТК'!$B349,$I$10='Состав ВТК'!$I349),$F356*$D356*VLOOKUP('Расчет участников НИР'!$B356,Расценка!$C$3:$E$13,3,FALSE),0),0),2),"-")</f>
        <v>0</v>
      </c>
      <c r="J356" s="296">
        <f>IFERROR(ROUND(IF('Состав ВТК'!$K349=справочник!$A$5,IF(AND('Расчет участников НИР'!$A356='Состав ВТК'!$B349,$J$10='Состав ВТК'!$I349),$F356*$D356*VLOOKUP('Расчет участников НИР'!$B356,Расценка!$C$3:$E$13,3,FALSE),0),0),2),"-")</f>
        <v>0</v>
      </c>
      <c r="K356" s="296">
        <f>IFERROR(ROUND(IF('Состав ВТК'!$K349=справочник!$A$5,IF(AND('Расчет участников НИР'!$A356='Состав ВТК'!$B349,$K$10='Состав ВТК'!$I349),$F356*$D356*VLOOKUP('Расчет участников НИР'!$B356,Расценка!$C$3:$E$13,3,FALSE),0),0),2),"-")</f>
        <v>0</v>
      </c>
      <c r="L356" s="297"/>
      <c r="M356" s="295">
        <f t="shared" si="49"/>
        <v>0</v>
      </c>
      <c r="N356" s="298">
        <f>IFERROR(ROUND(IF('Состав ВТК'!$K349=справочник!$A$5,(IF(AND($A356='Состав ВТК'!$B349,$N$10=$C356),$F356*$D356*VLOOKUP($B356,Расценка!$H$3:$K$9,4,FALSE),0)),0),2),"-")</f>
        <v>0</v>
      </c>
      <c r="O356" s="298">
        <f>IFERROR(ROUND(IF('Состав ВТК'!$K349=справочник!$A$5,(IF(AND($A356='Состав ВТК'!$B349,$O$10=$C356),$F356*$D356*VLOOKUP($B356,Расценка!$H$3:$K$9,4,FALSE),0)),0),2),"-")</f>
        <v>0</v>
      </c>
      <c r="P356" s="299">
        <f t="shared" si="50"/>
        <v>0</v>
      </c>
      <c r="Q356" s="300">
        <f t="shared" si="55"/>
        <v>0</v>
      </c>
      <c r="R356" s="300">
        <f t="shared" si="56"/>
        <v>0</v>
      </c>
      <c r="S356" s="295">
        <f t="shared" si="51"/>
        <v>0</v>
      </c>
      <c r="T356" s="298">
        <f>IFERROR(ROUND(IF(AND('Расчет участников НИР'!$A356='Состав ВТК'!$B349,'Расчет участников НИР'!$T$10='Состав ВТК'!$I349),$E356,0),2),"-")</f>
        <v>0</v>
      </c>
      <c r="U356" s="298">
        <f>IFERROR(ROUND(IF(AND('Расчет участников НИР'!$A356='Состав ВТК'!$B349,'Расчет участников НИР'!$U$10='Состав ВТК'!$I349),$E356,0),2),"-")</f>
        <v>0</v>
      </c>
      <c r="V356" s="298">
        <f>IFERROR(ROUND(IF(AND('Расчет участников НИР'!$A356='Состав ВТК'!$B349,'Расчет участников НИР'!$V$10='Состав ВТК'!$I349),$E356,0),2),"-")</f>
        <v>0</v>
      </c>
      <c r="W356" s="301" t="str">
        <f t="shared" si="52"/>
        <v>-</v>
      </c>
      <c r="X356" s="301" t="str">
        <f t="shared" si="53"/>
        <v>-</v>
      </c>
      <c r="Y356" s="301" t="str">
        <f t="shared" si="54"/>
        <v>-</v>
      </c>
    </row>
  </sheetData>
  <sheetProtection password="CF98" sheet="1" formatCells="0" formatColumns="0" formatRows="0" insertColumns="0" insertRows="0" insertHyperlinks="0" sort="0" autoFilter="0" pivotTables="0"/>
  <mergeCells count="47">
    <mergeCell ref="A14:F14"/>
    <mergeCell ref="A13:F13"/>
    <mergeCell ref="A15:F15"/>
    <mergeCell ref="X14:X15"/>
    <mergeCell ref="T4:W4"/>
    <mergeCell ref="P11:P13"/>
    <mergeCell ref="T8:Y8"/>
    <mergeCell ref="T9:V9"/>
    <mergeCell ref="W9:Y9"/>
    <mergeCell ref="X11:X12"/>
    <mergeCell ref="Y11:Y12"/>
    <mergeCell ref="W11:W12"/>
    <mergeCell ref="T11:T12"/>
    <mergeCell ref="U11:U12"/>
    <mergeCell ref="V11:V12"/>
    <mergeCell ref="Y14:Y15"/>
    <mergeCell ref="S14:S15"/>
    <mergeCell ref="T14:T15"/>
    <mergeCell ref="U14:U15"/>
    <mergeCell ref="V14:V15"/>
    <mergeCell ref="W14:W15"/>
    <mergeCell ref="S8:S10"/>
    <mergeCell ref="B8:B11"/>
    <mergeCell ref="C8:C11"/>
    <mergeCell ref="E8:E11"/>
    <mergeCell ref="F8:F11"/>
    <mergeCell ref="R11:R12"/>
    <mergeCell ref="S11:S12"/>
    <mergeCell ref="O10:O13"/>
    <mergeCell ref="H9:H10"/>
    <mergeCell ref="I9:K9"/>
    <mergeCell ref="M8:O9"/>
    <mergeCell ref="M10:M13"/>
    <mergeCell ref="N10:N13"/>
    <mergeCell ref="D8:D11"/>
    <mergeCell ref="G9:G10"/>
    <mergeCell ref="G8:L8"/>
    <mergeCell ref="J1:L1"/>
    <mergeCell ref="M1:O1"/>
    <mergeCell ref="A8:A11"/>
    <mergeCell ref="P8:R10"/>
    <mergeCell ref="Q11:Q12"/>
    <mergeCell ref="A12:F12"/>
    <mergeCell ref="F2:H2"/>
    <mergeCell ref="F4:H4"/>
    <mergeCell ref="B2:E2"/>
    <mergeCell ref="L9:L10"/>
  </mergeCells>
  <conditionalFormatting sqref="R6 K6:L6">
    <cfRule type="cellIs" dxfId="104" priority="10" operator="greaterThan">
      <formula>1</formula>
    </cfRule>
    <cfRule type="cellIs" dxfId="103" priority="11" operator="lessThan">
      <formula>1</formula>
    </cfRule>
  </conditionalFormatting>
  <conditionalFormatting sqref="Y14 E4">
    <cfRule type="expression" dxfId="102" priority="96">
      <formula>($V$14/$S$14)&gt;$K$5</formula>
    </cfRule>
  </conditionalFormatting>
  <conditionalFormatting sqref="X14:X15 D4">
    <cfRule type="expression" dxfId="101" priority="100">
      <formula>($U$14/$S$14)&lt;$K$4</formula>
    </cfRule>
  </conditionalFormatting>
  <conditionalFormatting sqref="W14 C4">
    <cfRule type="expression" dxfId="100" priority="103">
      <formula>($T$14/$S$14)&lt;$K$3</formula>
    </cfRule>
  </conditionalFormatting>
  <conditionalFormatting sqref="N6:O6">
    <cfRule type="cellIs" dxfId="99" priority="1" operator="greaterThan">
      <formula>1</formula>
    </cfRule>
    <cfRule type="cellIs" dxfId="98" priority="2" operator="lessThan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tabColor theme="0" tint="-0.499984740745262"/>
    <pageSetUpPr fitToPage="1"/>
  </sheetPr>
  <dimension ref="A1:X412"/>
  <sheetViews>
    <sheetView zoomScale="85" zoomScaleNormal="85" zoomScaleSheetLayoutView="115" workbookViewId="0">
      <pane xSplit="1" ySplit="2" topLeftCell="B3" activePane="bottomRight" state="frozen"/>
      <selection activeCell="B7" sqref="B7:F7"/>
      <selection pane="topRight" activeCell="B7" sqref="B7:F7"/>
      <selection pane="bottomLeft" activeCell="B7" sqref="B7:F7"/>
      <selection pane="bottomRight" activeCell="H6" sqref="H6"/>
    </sheetView>
  </sheetViews>
  <sheetFormatPr defaultColWidth="9.140625" defaultRowHeight="15" x14ac:dyDescent="0.25"/>
  <cols>
    <col min="1" max="1" width="14.28515625" style="1" bestFit="1" customWidth="1"/>
    <col min="2" max="2" width="16" style="1" bestFit="1" customWidth="1"/>
    <col min="3" max="3" width="38.28515625" style="1" bestFit="1" customWidth="1"/>
    <col min="4" max="4" width="13.42578125" style="1" bestFit="1" customWidth="1"/>
    <col min="5" max="5" width="10.5703125" style="1" bestFit="1" customWidth="1"/>
    <col min="6" max="6" width="24" style="1" customWidth="1"/>
    <col min="7" max="7" width="6.85546875" style="1" customWidth="1"/>
    <col min="8" max="8" width="38.28515625" style="1" bestFit="1" customWidth="1"/>
    <col min="9" max="9" width="16" style="1" bestFit="1" customWidth="1"/>
    <col min="10" max="11" width="15.85546875" style="1" bestFit="1" customWidth="1"/>
    <col min="12" max="12" width="11.85546875" style="1" customWidth="1"/>
    <col min="13" max="13" width="6" style="1" bestFit="1" customWidth="1"/>
    <col min="14" max="14" width="73.28515625" style="1" bestFit="1" customWidth="1"/>
    <col min="15" max="15" width="29.140625" style="1" bestFit="1" customWidth="1"/>
    <col min="16" max="16" width="15" style="1" bestFit="1" customWidth="1"/>
    <col min="17" max="17" width="11.7109375" style="1" customWidth="1"/>
    <col min="18" max="18" width="18.5703125" style="1" customWidth="1"/>
    <col min="19" max="19" width="23.140625" style="1" bestFit="1" customWidth="1"/>
    <col min="20" max="20" width="16.7109375" style="1" customWidth="1"/>
    <col min="21" max="21" width="12.140625" style="1" customWidth="1"/>
    <col min="22" max="22" width="10.28515625" style="1" bestFit="1" customWidth="1"/>
    <col min="23" max="23" width="5.85546875" style="1" bestFit="1" customWidth="1"/>
    <col min="24" max="25" width="9.28515625" style="1" bestFit="1" customWidth="1"/>
    <col min="26" max="16384" width="9.140625" style="1"/>
  </cols>
  <sheetData>
    <row r="1" spans="1:24" ht="57" customHeight="1" thickBot="1" x14ac:dyDescent="0.3">
      <c r="A1" s="1007" t="s">
        <v>78</v>
      </c>
      <c r="B1" s="1009" t="s">
        <v>37</v>
      </c>
      <c r="C1" s="1010"/>
      <c r="D1" s="1012" t="s">
        <v>33</v>
      </c>
      <c r="E1" s="1013"/>
      <c r="F1" s="1014"/>
      <c r="H1" s="1009" t="s">
        <v>85</v>
      </c>
      <c r="I1" s="1015"/>
      <c r="J1" s="37" t="s">
        <v>90</v>
      </c>
      <c r="K1" s="37" t="s">
        <v>113</v>
      </c>
      <c r="L1" s="171"/>
      <c r="M1" s="1011" t="s">
        <v>112</v>
      </c>
      <c r="N1" s="1011"/>
      <c r="O1" s="1011"/>
      <c r="P1" s="183"/>
      <c r="R1" s="304" t="s">
        <v>42</v>
      </c>
      <c r="S1" s="304" t="s">
        <v>35</v>
      </c>
      <c r="T1" s="1006" t="s">
        <v>43</v>
      </c>
      <c r="U1" s="1006"/>
      <c r="V1" s="1006"/>
      <c r="W1" s="1006"/>
      <c r="X1" s="57"/>
    </row>
    <row r="2" spans="1:24" ht="57" thickBot="1" x14ac:dyDescent="0.3">
      <c r="A2" s="1008"/>
      <c r="B2" s="38" t="s">
        <v>360</v>
      </c>
      <c r="C2" s="39" t="s">
        <v>76</v>
      </c>
      <c r="D2" s="37"/>
      <c r="E2" s="475"/>
      <c r="F2" s="439" t="s">
        <v>124</v>
      </c>
      <c r="H2" s="39" t="s">
        <v>76</v>
      </c>
      <c r="I2" s="38" t="s">
        <v>359</v>
      </c>
      <c r="J2" s="37" t="s">
        <v>77</v>
      </c>
      <c r="K2" s="37" t="s">
        <v>115</v>
      </c>
      <c r="L2" s="171"/>
      <c r="M2" s="38" t="s">
        <v>35</v>
      </c>
      <c r="N2" s="183"/>
      <c r="O2" s="183"/>
      <c r="P2" s="183"/>
      <c r="R2" s="27">
        <f>ROUND(R3*R5,2)</f>
        <v>104100</v>
      </c>
      <c r="S2" s="1" t="s">
        <v>67</v>
      </c>
      <c r="T2" s="26">
        <v>2.2000000000000002</v>
      </c>
      <c r="U2" s="50">
        <f>ROUND($R$2*T2,2)</f>
        <v>229020</v>
      </c>
      <c r="V2" s="50">
        <f>ROUND(SUM(U2:U6),2)</f>
        <v>999360</v>
      </c>
      <c r="W2" s="58">
        <f>U2/$V$2</f>
        <v>0.22916666666666666</v>
      </c>
      <c r="X2" s="57"/>
    </row>
    <row r="3" spans="1:24" ht="18.75" x14ac:dyDescent="0.25">
      <c r="A3" s="1004" t="s">
        <v>51</v>
      </c>
      <c r="B3" s="29" t="s">
        <v>73</v>
      </c>
      <c r="C3" s="32" t="s">
        <v>197</v>
      </c>
      <c r="D3" s="35">
        <f>ROUND($R$2*$T$2,2)</f>
        <v>229020</v>
      </c>
      <c r="E3" s="470">
        <f>ROUND(D3*12/$T$20,2)</f>
        <v>1388.7</v>
      </c>
      <c r="F3" s="476">
        <f>VLOOKUP($D3,$U$2:$W$8,3,FALSE)</f>
        <v>0.22916666666666666</v>
      </c>
      <c r="H3" s="46" t="s">
        <v>197</v>
      </c>
      <c r="I3" s="52" t="s">
        <v>73</v>
      </c>
      <c r="J3" s="47">
        <f>ROUND(106634*$R$5,2)</f>
        <v>106634</v>
      </c>
      <c r="K3" s="34">
        <f>ROUND(J3*12/$T$20,2)</f>
        <v>646.59</v>
      </c>
      <c r="L3" s="172">
        <f t="shared" ref="L3:L8" si="0">J3/U2</f>
        <v>0.46560999039385209</v>
      </c>
      <c r="M3" s="25" t="s">
        <v>52</v>
      </c>
      <c r="N3" s="1" t="s">
        <v>128</v>
      </c>
      <c r="O3" s="1" t="s">
        <v>201</v>
      </c>
      <c r="P3" s="1" t="s">
        <v>341</v>
      </c>
      <c r="R3" s="27">
        <v>104100</v>
      </c>
      <c r="S3" s="1" t="s">
        <v>58</v>
      </c>
      <c r="T3" s="26">
        <v>2</v>
      </c>
      <c r="U3" s="50">
        <f t="shared" ref="U3:U8" si="1">ROUND($R$2*T3,2)</f>
        <v>208200</v>
      </c>
      <c r="V3" s="50"/>
      <c r="W3" s="58">
        <f>U3/$V$2</f>
        <v>0.20833333333333334</v>
      </c>
      <c r="X3" s="57"/>
    </row>
    <row r="4" spans="1:24" ht="18.75" x14ac:dyDescent="0.25">
      <c r="A4" s="1005"/>
      <c r="B4" s="29" t="s">
        <v>73</v>
      </c>
      <c r="C4" s="32" t="s">
        <v>198</v>
      </c>
      <c r="D4" s="35">
        <f>ROUND($R$2*$T$3,2)</f>
        <v>208200</v>
      </c>
      <c r="E4" s="468">
        <f t="shared" ref="E4:E12" si="2">ROUND(D4*12/$T$20,2)</f>
        <v>1262.46</v>
      </c>
      <c r="F4" s="473">
        <f t="shared" ref="F4:F12" si="3">VLOOKUP($D4,$U$2:$W$8,3,FALSE)</f>
        <v>0.20833333333333334</v>
      </c>
      <c r="H4" s="32" t="s">
        <v>198</v>
      </c>
      <c r="I4" s="40" t="s">
        <v>73</v>
      </c>
      <c r="J4" s="35">
        <f>ROUND(97308*R5,2)</f>
        <v>97308</v>
      </c>
      <c r="K4" s="47">
        <f t="shared" ref="K4:K8" si="4">ROUND(J4*12/$T$20,2)</f>
        <v>590.04</v>
      </c>
      <c r="L4" s="172">
        <f t="shared" si="0"/>
        <v>0.46737752161383284</v>
      </c>
      <c r="M4" s="25" t="s">
        <v>52</v>
      </c>
      <c r="N4" s="1" t="s">
        <v>128</v>
      </c>
      <c r="O4" s="1" t="s">
        <v>391</v>
      </c>
      <c r="P4" s="1" t="s">
        <v>341</v>
      </c>
      <c r="R4" s="28" t="s">
        <v>72</v>
      </c>
      <c r="S4" s="1" t="s">
        <v>196</v>
      </c>
      <c r="T4" s="26">
        <v>1.8</v>
      </c>
      <c r="U4" s="50">
        <f t="shared" si="1"/>
        <v>187380</v>
      </c>
      <c r="V4" s="50"/>
      <c r="W4" s="58">
        <f>U4/$V$2</f>
        <v>0.1875</v>
      </c>
      <c r="X4" s="57"/>
    </row>
    <row r="5" spans="1:24" ht="18.75" x14ac:dyDescent="0.25">
      <c r="A5" s="1005"/>
      <c r="B5" s="29" t="s">
        <v>73</v>
      </c>
      <c r="C5" s="32" t="s">
        <v>199</v>
      </c>
      <c r="D5" s="35">
        <f>ROUND($R$2*$T$4,2)</f>
        <v>187380</v>
      </c>
      <c r="E5" s="468">
        <f t="shared" si="2"/>
        <v>1136.21</v>
      </c>
      <c r="F5" s="473">
        <f t="shared" si="3"/>
        <v>0.1875</v>
      </c>
      <c r="H5" s="32" t="s">
        <v>199</v>
      </c>
      <c r="I5" s="40" t="s">
        <v>73</v>
      </c>
      <c r="J5" s="35">
        <f>ROUND(89867*R5,2)</f>
        <v>89867</v>
      </c>
      <c r="K5" s="47">
        <f t="shared" si="4"/>
        <v>544.91999999999996</v>
      </c>
      <c r="L5" s="172">
        <f t="shared" si="0"/>
        <v>0.47959760913651406</v>
      </c>
      <c r="M5" s="25" t="s">
        <v>52</v>
      </c>
      <c r="N5" s="1" t="s">
        <v>128</v>
      </c>
      <c r="O5" s="1" t="s">
        <v>390</v>
      </c>
      <c r="P5" s="1" t="s">
        <v>341</v>
      </c>
      <c r="R5" s="45">
        <v>1</v>
      </c>
      <c r="S5" s="1" t="s">
        <v>68</v>
      </c>
      <c r="T5" s="26">
        <v>1.8</v>
      </c>
      <c r="U5" s="50">
        <f t="shared" si="1"/>
        <v>187380</v>
      </c>
      <c r="V5" s="50"/>
      <c r="W5" s="58">
        <f>U5/$V$2</f>
        <v>0.1875</v>
      </c>
      <c r="X5" s="57"/>
    </row>
    <row r="6" spans="1:24" ht="18.75" x14ac:dyDescent="0.25">
      <c r="A6" s="1005"/>
      <c r="B6" s="29" t="s">
        <v>73</v>
      </c>
      <c r="C6" s="32" t="s">
        <v>200</v>
      </c>
      <c r="D6" s="35">
        <f>ROUND($R$2*$T$5,2)</f>
        <v>187380</v>
      </c>
      <c r="E6" s="468">
        <f t="shared" si="2"/>
        <v>1136.21</v>
      </c>
      <c r="F6" s="473">
        <f t="shared" si="3"/>
        <v>0.1875</v>
      </c>
      <c r="H6" s="32" t="s">
        <v>200</v>
      </c>
      <c r="I6" s="40" t="s">
        <v>73</v>
      </c>
      <c r="J6" s="35">
        <f>ROUND(82433*$R$5,2)</f>
        <v>82433</v>
      </c>
      <c r="K6" s="47">
        <f t="shared" si="4"/>
        <v>499.85</v>
      </c>
      <c r="L6" s="172">
        <f t="shared" si="0"/>
        <v>0.43992421816629307</v>
      </c>
      <c r="M6" s="25" t="s">
        <v>54</v>
      </c>
      <c r="N6" s="1" t="s">
        <v>93</v>
      </c>
      <c r="O6" s="1" t="s">
        <v>201</v>
      </c>
      <c r="P6" s="1" t="s">
        <v>341</v>
      </c>
      <c r="S6" s="1" t="s">
        <v>74</v>
      </c>
      <c r="T6" s="26">
        <v>1.8</v>
      </c>
      <c r="U6" s="50">
        <f t="shared" si="1"/>
        <v>187380</v>
      </c>
      <c r="V6" s="50"/>
      <c r="W6" s="58">
        <f>U6/$V$2</f>
        <v>0.1875</v>
      </c>
      <c r="X6" s="57"/>
    </row>
    <row r="7" spans="1:24" ht="38.25" thickBot="1" x14ac:dyDescent="0.3">
      <c r="A7" s="1005"/>
      <c r="B7" s="30" t="s">
        <v>73</v>
      </c>
      <c r="C7" s="33" t="s">
        <v>201</v>
      </c>
      <c r="D7" s="36">
        <f>ROUND($R$2*$T$6,2)</f>
        <v>187380</v>
      </c>
      <c r="E7" s="469">
        <f t="shared" si="2"/>
        <v>1136.21</v>
      </c>
      <c r="F7" s="474">
        <f t="shared" si="3"/>
        <v>0.1875</v>
      </c>
      <c r="H7" s="32" t="s">
        <v>201</v>
      </c>
      <c r="I7" s="40" t="s">
        <v>73</v>
      </c>
      <c r="J7" s="35">
        <f>ROUND(82433*$R$5,2)</f>
        <v>82433</v>
      </c>
      <c r="K7" s="47">
        <f t="shared" si="4"/>
        <v>499.85</v>
      </c>
      <c r="L7" s="172">
        <f t="shared" si="0"/>
        <v>0.43992421816629307</v>
      </c>
      <c r="M7" s="25" t="s">
        <v>56</v>
      </c>
      <c r="N7" s="1" t="s">
        <v>207</v>
      </c>
      <c r="O7" s="1" t="s">
        <v>201</v>
      </c>
      <c r="P7" s="1" t="s">
        <v>341</v>
      </c>
      <c r="S7" s="1" t="s">
        <v>52</v>
      </c>
      <c r="T7" s="26">
        <f>IF('Расчет участников НИР'!$J$1=Титул!$B$7,'Расчет участников НИР'!$J$4,'Расчет участников НИР'!$M$4)</f>
        <v>0.5</v>
      </c>
      <c r="U7" s="50">
        <f t="shared" si="1"/>
        <v>52050</v>
      </c>
      <c r="V7" s="50">
        <f>U7</f>
        <v>52050</v>
      </c>
      <c r="W7" s="58">
        <f>V7/V7</f>
        <v>1</v>
      </c>
      <c r="X7" s="57"/>
    </row>
    <row r="8" spans="1:24" ht="18.75" x14ac:dyDescent="0.25">
      <c r="A8" s="1004" t="s">
        <v>52</v>
      </c>
      <c r="B8" s="43" t="s">
        <v>52</v>
      </c>
      <c r="C8" s="31" t="s">
        <v>391</v>
      </c>
      <c r="D8" s="34">
        <f>ROUND($R$2*$T$7,2)</f>
        <v>52050</v>
      </c>
      <c r="E8" s="470">
        <f t="shared" si="2"/>
        <v>315.61</v>
      </c>
      <c r="F8" s="476">
        <f t="shared" si="3"/>
        <v>1</v>
      </c>
      <c r="H8" s="32" t="s">
        <v>391</v>
      </c>
      <c r="I8" s="40" t="s">
        <v>52</v>
      </c>
      <c r="J8" s="35">
        <f>ROUND(21770*R5,2)</f>
        <v>21770</v>
      </c>
      <c r="K8" s="47">
        <f t="shared" si="4"/>
        <v>132.01</v>
      </c>
      <c r="L8" s="172">
        <f t="shared" si="0"/>
        <v>0.41825168107588856</v>
      </c>
      <c r="M8" s="25" t="s">
        <v>56</v>
      </c>
      <c r="N8" s="1" t="s">
        <v>207</v>
      </c>
      <c r="O8" s="1" t="s">
        <v>391</v>
      </c>
      <c r="P8" s="1" t="s">
        <v>341</v>
      </c>
      <c r="R8" s="25"/>
      <c r="S8" s="1" t="s">
        <v>208</v>
      </c>
      <c r="T8" s="26">
        <f>IF('Расчет участников НИР'!$J$1=Титул!$B$7,'Расчет участников НИР'!$J$5,'Расчет участников НИР'!$M$5)</f>
        <v>2</v>
      </c>
      <c r="U8" s="50">
        <f t="shared" si="1"/>
        <v>208200</v>
      </c>
      <c r="V8" s="50">
        <f>U8</f>
        <v>208200</v>
      </c>
      <c r="W8" s="58">
        <f>V8/V8</f>
        <v>1</v>
      </c>
      <c r="X8" s="57"/>
    </row>
    <row r="9" spans="1:24" ht="19.5" thickBot="1" x14ac:dyDescent="0.3">
      <c r="A9" s="1005"/>
      <c r="B9" s="40" t="s">
        <v>52</v>
      </c>
      <c r="C9" s="32" t="s">
        <v>390</v>
      </c>
      <c r="D9" s="35">
        <f>ROUND($R$2*$T$7,2)</f>
        <v>52050</v>
      </c>
      <c r="E9" s="468">
        <f t="shared" si="2"/>
        <v>315.61</v>
      </c>
      <c r="F9" s="473">
        <f t="shared" si="3"/>
        <v>1</v>
      </c>
      <c r="H9" s="33" t="s">
        <v>390</v>
      </c>
      <c r="I9" s="44" t="s">
        <v>52</v>
      </c>
      <c r="J9" s="36">
        <f>ROUND(21770*R5,2)</f>
        <v>21770</v>
      </c>
      <c r="K9" s="703">
        <f>ROUND(J9*12/$T$20,2)</f>
        <v>132.01</v>
      </c>
      <c r="L9" s="172">
        <f>J9/U7</f>
        <v>0.41825168107588856</v>
      </c>
      <c r="M9" s="25" t="s">
        <v>56</v>
      </c>
      <c r="N9" s="1" t="s">
        <v>207</v>
      </c>
      <c r="O9" s="1" t="s">
        <v>390</v>
      </c>
      <c r="P9" s="1" t="s">
        <v>341</v>
      </c>
      <c r="S9" s="24"/>
    </row>
    <row r="10" spans="1:24" ht="18.75" x14ac:dyDescent="0.25">
      <c r="A10" s="1005"/>
      <c r="B10" s="61" t="s">
        <v>52</v>
      </c>
      <c r="C10" s="62" t="s">
        <v>128</v>
      </c>
      <c r="D10" s="63">
        <f>ROUND($R$2*$T$7,2)</f>
        <v>52050</v>
      </c>
      <c r="E10" s="471">
        <f t="shared" si="2"/>
        <v>315.61</v>
      </c>
      <c r="F10" s="473">
        <f t="shared" si="3"/>
        <v>1</v>
      </c>
      <c r="G10" s="7"/>
      <c r="M10" s="25" t="s">
        <v>73</v>
      </c>
      <c r="N10" s="1" t="s">
        <v>198</v>
      </c>
      <c r="O10" s="1" t="s">
        <v>198</v>
      </c>
      <c r="P10" s="1" t="s">
        <v>341</v>
      </c>
      <c r="S10" s="41" t="s">
        <v>54</v>
      </c>
      <c r="T10" s="41" t="s">
        <v>51</v>
      </c>
    </row>
    <row r="11" spans="1:24" ht="19.5" thickBot="1" x14ac:dyDescent="0.3">
      <c r="A11" s="1005"/>
      <c r="B11" s="54" t="s">
        <v>52</v>
      </c>
      <c r="C11" s="55" t="s">
        <v>71</v>
      </c>
      <c r="D11" s="56">
        <f>ROUND($R$2*$T$7,2)</f>
        <v>52050</v>
      </c>
      <c r="E11" s="472">
        <f t="shared" si="2"/>
        <v>315.61</v>
      </c>
      <c r="F11" s="474">
        <f t="shared" si="3"/>
        <v>1</v>
      </c>
      <c r="G11" s="7"/>
      <c r="K11" s="49"/>
      <c r="L11" s="49"/>
      <c r="M11" s="25" t="s">
        <v>56</v>
      </c>
      <c r="N11" s="1" t="s">
        <v>206</v>
      </c>
      <c r="O11" s="1" t="s">
        <v>201</v>
      </c>
      <c r="P11" s="1" t="s">
        <v>341</v>
      </c>
      <c r="S11" s="41" t="s">
        <v>73</v>
      </c>
      <c r="T11" s="41" t="s">
        <v>51</v>
      </c>
    </row>
    <row r="12" spans="1:24" ht="19.5" thickBot="1" x14ac:dyDescent="0.3">
      <c r="A12" s="466" t="s">
        <v>69</v>
      </c>
      <c r="B12" s="54" t="s">
        <v>69</v>
      </c>
      <c r="C12" s="467" t="s">
        <v>202</v>
      </c>
      <c r="D12" s="56">
        <f>ROUND($R$2*$T$8,2)</f>
        <v>208200</v>
      </c>
      <c r="E12" s="477">
        <f t="shared" si="2"/>
        <v>1262.46</v>
      </c>
      <c r="F12" s="478">
        <f t="shared" si="3"/>
        <v>0.20833333333333334</v>
      </c>
      <c r="G12" s="7"/>
      <c r="M12" s="25" t="s">
        <v>56</v>
      </c>
      <c r="N12" s="1" t="s">
        <v>206</v>
      </c>
      <c r="O12" s="1" t="s">
        <v>391</v>
      </c>
      <c r="P12" s="1" t="s">
        <v>341</v>
      </c>
      <c r="S12" s="41" t="s">
        <v>52</v>
      </c>
      <c r="T12" s="42" t="s">
        <v>52</v>
      </c>
    </row>
    <row r="13" spans="1:24" ht="18.75" x14ac:dyDescent="0.25">
      <c r="A13" s="53"/>
      <c r="G13" s="7"/>
      <c r="J13" s="7"/>
      <c r="K13" s="7"/>
      <c r="M13" s="25" t="s">
        <v>56</v>
      </c>
      <c r="N13" s="1" t="s">
        <v>206</v>
      </c>
      <c r="O13" s="1" t="s">
        <v>390</v>
      </c>
      <c r="P13" s="1" t="s">
        <v>341</v>
      </c>
      <c r="S13" s="41" t="s">
        <v>56</v>
      </c>
      <c r="T13" s="41" t="s">
        <v>69</v>
      </c>
    </row>
    <row r="14" spans="1:24" ht="18.75" x14ac:dyDescent="0.25">
      <c r="A14" s="53"/>
      <c r="G14" s="7"/>
      <c r="M14" s="25" t="s">
        <v>69</v>
      </c>
      <c r="N14" s="1" t="s">
        <v>368</v>
      </c>
      <c r="O14" s="1" t="s">
        <v>201</v>
      </c>
      <c r="P14" s="1" t="s">
        <v>341</v>
      </c>
      <c r="S14" s="41" t="s">
        <v>55</v>
      </c>
      <c r="T14" s="41" t="s">
        <v>69</v>
      </c>
    </row>
    <row r="15" spans="1:24" ht="18.75" x14ac:dyDescent="0.25">
      <c r="A15" s="53"/>
      <c r="G15" s="7"/>
      <c r="M15" s="25" t="s">
        <v>69</v>
      </c>
      <c r="N15" s="1" t="s">
        <v>368</v>
      </c>
      <c r="O15" s="1" t="s">
        <v>391</v>
      </c>
      <c r="P15" s="1" t="s">
        <v>341</v>
      </c>
      <c r="S15" s="1" t="s">
        <v>69</v>
      </c>
      <c r="T15" s="1" t="s">
        <v>69</v>
      </c>
    </row>
    <row r="16" spans="1:24" x14ac:dyDescent="0.25">
      <c r="G16" s="7"/>
      <c r="M16" s="25" t="s">
        <v>69</v>
      </c>
      <c r="N16" s="1" t="s">
        <v>368</v>
      </c>
      <c r="O16" s="1" t="s">
        <v>390</v>
      </c>
      <c r="P16" s="1" t="s">
        <v>341</v>
      </c>
    </row>
    <row r="17" spans="1:22" ht="18.75" x14ac:dyDescent="0.25">
      <c r="A17" s="53"/>
      <c r="G17" s="7"/>
      <c r="M17" s="25" t="s">
        <v>69</v>
      </c>
      <c r="N17" s="1" t="s">
        <v>342</v>
      </c>
      <c r="O17" s="1" t="s">
        <v>197</v>
      </c>
      <c r="P17" s="1" t="s">
        <v>321</v>
      </c>
    </row>
    <row r="18" spans="1:22" ht="18.75" x14ac:dyDescent="0.25">
      <c r="A18" s="53"/>
      <c r="M18" s="25" t="s">
        <v>69</v>
      </c>
      <c r="N18" s="1" t="s">
        <v>342</v>
      </c>
      <c r="O18" s="1" t="s">
        <v>198</v>
      </c>
      <c r="P18" s="1" t="s">
        <v>321</v>
      </c>
    </row>
    <row r="19" spans="1:22" ht="18.75" x14ac:dyDescent="0.25">
      <c r="A19" s="53"/>
      <c r="M19" s="25" t="s">
        <v>69</v>
      </c>
      <c r="N19" s="1" t="s">
        <v>342</v>
      </c>
      <c r="O19" s="1" t="s">
        <v>199</v>
      </c>
      <c r="P19" s="1" t="s">
        <v>321</v>
      </c>
      <c r="S19" s="51" t="s">
        <v>126</v>
      </c>
      <c r="U19" s="51" t="s">
        <v>460</v>
      </c>
      <c r="V19" s="51" t="s">
        <v>461</v>
      </c>
    </row>
    <row r="20" spans="1:22" x14ac:dyDescent="0.25">
      <c r="M20" s="25" t="s">
        <v>69</v>
      </c>
      <c r="N20" s="1" t="s">
        <v>342</v>
      </c>
      <c r="O20" s="1" t="s">
        <v>200</v>
      </c>
      <c r="P20" s="1" t="s">
        <v>321</v>
      </c>
      <c r="S20" s="1" t="s">
        <v>111</v>
      </c>
      <c r="T20" s="41">
        <v>1979</v>
      </c>
      <c r="U20" s="1">
        <v>248</v>
      </c>
      <c r="V20" s="1">
        <f>ROUND(T20/U20,2)</f>
        <v>7.98</v>
      </c>
    </row>
    <row r="21" spans="1:22" ht="18.75" x14ac:dyDescent="0.25">
      <c r="A21" s="53"/>
      <c r="M21" s="25" t="s">
        <v>69</v>
      </c>
      <c r="N21" s="1" t="s">
        <v>342</v>
      </c>
      <c r="O21" s="1" t="s">
        <v>201</v>
      </c>
      <c r="P21" s="1" t="s">
        <v>321</v>
      </c>
      <c r="S21" s="7" t="s">
        <v>110</v>
      </c>
      <c r="T21" s="41">
        <v>1780.6</v>
      </c>
    </row>
    <row r="22" spans="1:22" ht="18.75" x14ac:dyDescent="0.25">
      <c r="A22" s="53"/>
      <c r="M22" s="25" t="s">
        <v>69</v>
      </c>
      <c r="N22" s="1" t="s">
        <v>342</v>
      </c>
      <c r="O22" s="1" t="s">
        <v>391</v>
      </c>
      <c r="P22" s="1" t="s">
        <v>321</v>
      </c>
      <c r="S22" s="1" t="s">
        <v>109</v>
      </c>
      <c r="T22" s="50">
        <v>1185.4000000000001</v>
      </c>
    </row>
    <row r="23" spans="1:22" ht="18.75" x14ac:dyDescent="0.25">
      <c r="A23" s="53"/>
      <c r="M23" s="25" t="s">
        <v>69</v>
      </c>
      <c r="N23" s="1" t="s">
        <v>342</v>
      </c>
      <c r="O23" s="1" t="s">
        <v>390</v>
      </c>
      <c r="P23" s="1" t="s">
        <v>321</v>
      </c>
    </row>
    <row r="24" spans="1:22" ht="18.75" x14ac:dyDescent="0.25">
      <c r="A24" s="53"/>
      <c r="M24" s="25" t="s">
        <v>69</v>
      </c>
      <c r="N24" s="1" t="s">
        <v>343</v>
      </c>
      <c r="O24" s="1" t="s">
        <v>198</v>
      </c>
      <c r="P24" s="1" t="s">
        <v>322</v>
      </c>
      <c r="S24" s="51"/>
    </row>
    <row r="25" spans="1:22" ht="18.75" x14ac:dyDescent="0.25">
      <c r="A25" s="53"/>
      <c r="M25" s="25" t="s">
        <v>69</v>
      </c>
      <c r="N25" s="1" t="s">
        <v>343</v>
      </c>
      <c r="O25" s="1" t="s">
        <v>199</v>
      </c>
      <c r="P25" s="1" t="s">
        <v>322</v>
      </c>
      <c r="T25" s="41"/>
    </row>
    <row r="26" spans="1:22" ht="18.75" x14ac:dyDescent="0.25">
      <c r="A26" s="53"/>
      <c r="M26" s="25" t="s">
        <v>69</v>
      </c>
      <c r="N26" s="1" t="s">
        <v>343</v>
      </c>
      <c r="O26" s="1" t="s">
        <v>200</v>
      </c>
      <c r="P26" s="1" t="s">
        <v>322</v>
      </c>
      <c r="S26" s="7"/>
      <c r="T26" s="41"/>
    </row>
    <row r="27" spans="1:22" ht="18.75" x14ac:dyDescent="0.25">
      <c r="A27" s="53"/>
      <c r="M27" s="25" t="s">
        <v>69</v>
      </c>
      <c r="N27" s="1" t="s">
        <v>343</v>
      </c>
      <c r="O27" s="1" t="s">
        <v>201</v>
      </c>
      <c r="P27" s="1" t="s">
        <v>322</v>
      </c>
      <c r="T27" s="50"/>
    </row>
    <row r="28" spans="1:22" ht="18.75" x14ac:dyDescent="0.25">
      <c r="A28" s="53"/>
      <c r="M28" s="25" t="s">
        <v>69</v>
      </c>
      <c r="N28" s="1" t="s">
        <v>343</v>
      </c>
      <c r="O28" s="1" t="s">
        <v>391</v>
      </c>
      <c r="P28" s="1" t="s">
        <v>322</v>
      </c>
    </row>
    <row r="29" spans="1:22" ht="18.75" x14ac:dyDescent="0.25">
      <c r="A29" s="53"/>
      <c r="M29" s="25" t="s">
        <v>69</v>
      </c>
      <c r="N29" s="1" t="s">
        <v>343</v>
      </c>
      <c r="O29" s="1" t="s">
        <v>390</v>
      </c>
      <c r="P29" s="1" t="s">
        <v>322</v>
      </c>
      <c r="S29" s="51"/>
    </row>
    <row r="30" spans="1:22" ht="18.75" x14ac:dyDescent="0.25">
      <c r="A30" s="53"/>
      <c r="M30" s="25" t="s">
        <v>56</v>
      </c>
      <c r="N30" s="1" t="s">
        <v>205</v>
      </c>
      <c r="O30" s="1" t="s">
        <v>201</v>
      </c>
      <c r="P30" s="1" t="s">
        <v>341</v>
      </c>
      <c r="T30" s="41"/>
    </row>
    <row r="31" spans="1:22" ht="18.75" x14ac:dyDescent="0.25">
      <c r="A31" s="53"/>
      <c r="M31" s="25" t="s">
        <v>56</v>
      </c>
      <c r="N31" s="1" t="s">
        <v>205</v>
      </c>
      <c r="O31" s="1" t="s">
        <v>391</v>
      </c>
      <c r="P31" s="1" t="s">
        <v>341</v>
      </c>
      <c r="S31" s="7"/>
      <c r="T31" s="41"/>
    </row>
    <row r="32" spans="1:22" ht="18.75" x14ac:dyDescent="0.25">
      <c r="A32" s="53"/>
      <c r="M32" s="25" t="s">
        <v>56</v>
      </c>
      <c r="N32" s="1" t="s">
        <v>205</v>
      </c>
      <c r="O32" s="1" t="s">
        <v>390</v>
      </c>
      <c r="P32" s="1" t="s">
        <v>341</v>
      </c>
      <c r="T32" s="50"/>
    </row>
    <row r="33" spans="1:20" ht="18.75" x14ac:dyDescent="0.25">
      <c r="A33" s="53"/>
      <c r="M33" s="25" t="s">
        <v>73</v>
      </c>
      <c r="N33" s="1" t="s">
        <v>197</v>
      </c>
      <c r="O33" s="1" t="s">
        <v>197</v>
      </c>
      <c r="P33" s="1" t="s">
        <v>341</v>
      </c>
    </row>
    <row r="34" spans="1:20" ht="18.75" x14ac:dyDescent="0.25">
      <c r="A34" s="53"/>
      <c r="M34" s="25" t="s">
        <v>56</v>
      </c>
      <c r="N34" s="1" t="s">
        <v>204</v>
      </c>
      <c r="O34" s="1" t="s">
        <v>201</v>
      </c>
      <c r="P34" s="1" t="s">
        <v>341</v>
      </c>
      <c r="S34" s="51"/>
    </row>
    <row r="35" spans="1:20" ht="18.75" x14ac:dyDescent="0.25">
      <c r="A35" s="53"/>
      <c r="M35" s="25" t="s">
        <v>56</v>
      </c>
      <c r="N35" s="1" t="s">
        <v>204</v>
      </c>
      <c r="O35" s="1" t="s">
        <v>391</v>
      </c>
      <c r="P35" s="1" t="s">
        <v>341</v>
      </c>
      <c r="T35" s="41"/>
    </row>
    <row r="36" spans="1:20" ht="15.75" customHeight="1" x14ac:dyDescent="0.25">
      <c r="A36" s="53"/>
      <c r="M36" s="25" t="s">
        <v>56</v>
      </c>
      <c r="N36" s="1" t="s">
        <v>204</v>
      </c>
      <c r="O36" s="1" t="s">
        <v>390</v>
      </c>
      <c r="P36" s="1" t="s">
        <v>341</v>
      </c>
      <c r="S36" s="7"/>
      <c r="T36" s="41"/>
    </row>
    <row r="37" spans="1:20" x14ac:dyDescent="0.25">
      <c r="M37" s="25" t="s">
        <v>54</v>
      </c>
      <c r="N37" s="1" t="s">
        <v>369</v>
      </c>
      <c r="O37" s="1" t="s">
        <v>201</v>
      </c>
      <c r="P37" s="1" t="s">
        <v>341</v>
      </c>
      <c r="T37" s="50"/>
    </row>
    <row r="38" spans="1:20" x14ac:dyDescent="0.25">
      <c r="M38" s="25" t="s">
        <v>54</v>
      </c>
      <c r="N38" s="1" t="s">
        <v>325</v>
      </c>
      <c r="O38" s="1" t="s">
        <v>197</v>
      </c>
      <c r="P38" s="1" t="s">
        <v>321</v>
      </c>
    </row>
    <row r="39" spans="1:20" x14ac:dyDescent="0.25">
      <c r="M39" s="25" t="s">
        <v>54</v>
      </c>
      <c r="N39" s="1" t="s">
        <v>325</v>
      </c>
      <c r="O39" s="1" t="s">
        <v>198</v>
      </c>
      <c r="P39" s="1" t="s">
        <v>321</v>
      </c>
      <c r="S39" s="51"/>
    </row>
    <row r="40" spans="1:20" x14ac:dyDescent="0.25">
      <c r="M40" s="25" t="s">
        <v>54</v>
      </c>
      <c r="N40" s="1" t="s">
        <v>325</v>
      </c>
      <c r="O40" s="1" t="s">
        <v>199</v>
      </c>
      <c r="P40" s="1" t="s">
        <v>321</v>
      </c>
      <c r="T40" s="41"/>
    </row>
    <row r="41" spans="1:20" x14ac:dyDescent="0.25">
      <c r="M41" s="25" t="s">
        <v>54</v>
      </c>
      <c r="N41" s="1" t="s">
        <v>325</v>
      </c>
      <c r="O41" s="1" t="s">
        <v>200</v>
      </c>
      <c r="P41" s="1" t="s">
        <v>321</v>
      </c>
      <c r="S41" s="7"/>
      <c r="T41" s="41"/>
    </row>
    <row r="42" spans="1:20" x14ac:dyDescent="0.25">
      <c r="M42" s="25" t="s">
        <v>54</v>
      </c>
      <c r="N42" s="1" t="s">
        <v>325</v>
      </c>
      <c r="O42" s="1" t="s">
        <v>201</v>
      </c>
      <c r="P42" s="1" t="s">
        <v>321</v>
      </c>
      <c r="T42" s="50"/>
    </row>
    <row r="43" spans="1:20" x14ac:dyDescent="0.25">
      <c r="M43" s="25" t="s">
        <v>54</v>
      </c>
      <c r="N43" s="1" t="s">
        <v>334</v>
      </c>
      <c r="O43" s="1" t="s">
        <v>198</v>
      </c>
      <c r="P43" s="1" t="s">
        <v>322</v>
      </c>
    </row>
    <row r="44" spans="1:20" x14ac:dyDescent="0.25">
      <c r="M44" s="25" t="s">
        <v>54</v>
      </c>
      <c r="N44" s="1" t="s">
        <v>334</v>
      </c>
      <c r="O44" s="1" t="s">
        <v>199</v>
      </c>
      <c r="P44" s="1" t="s">
        <v>322</v>
      </c>
    </row>
    <row r="45" spans="1:20" x14ac:dyDescent="0.25">
      <c r="M45" s="25" t="s">
        <v>54</v>
      </c>
      <c r="N45" s="1" t="s">
        <v>334</v>
      </c>
      <c r="O45" s="1" t="s">
        <v>200</v>
      </c>
      <c r="P45" s="1" t="s">
        <v>322</v>
      </c>
    </row>
    <row r="46" spans="1:20" x14ac:dyDescent="0.25">
      <c r="M46" s="25" t="s">
        <v>54</v>
      </c>
      <c r="N46" s="1" t="s">
        <v>334</v>
      </c>
      <c r="O46" s="1" t="s">
        <v>201</v>
      </c>
      <c r="P46" s="1" t="s">
        <v>322</v>
      </c>
    </row>
    <row r="47" spans="1:20" x14ac:dyDescent="0.25">
      <c r="M47" s="25" t="s">
        <v>56</v>
      </c>
      <c r="N47" s="1" t="s">
        <v>370</v>
      </c>
      <c r="O47" s="1" t="s">
        <v>201</v>
      </c>
      <c r="P47" s="1" t="s">
        <v>341</v>
      </c>
    </row>
    <row r="48" spans="1:20" x14ac:dyDescent="0.25">
      <c r="M48" s="25" t="s">
        <v>56</v>
      </c>
      <c r="N48" s="1" t="s">
        <v>370</v>
      </c>
      <c r="O48" s="1" t="s">
        <v>391</v>
      </c>
      <c r="P48" s="1" t="s">
        <v>341</v>
      </c>
    </row>
    <row r="49" spans="13:16" x14ac:dyDescent="0.25">
      <c r="M49" s="1" t="s">
        <v>56</v>
      </c>
      <c r="N49" s="1" t="s">
        <v>370</v>
      </c>
      <c r="O49" s="1" t="s">
        <v>390</v>
      </c>
      <c r="P49" s="1" t="s">
        <v>341</v>
      </c>
    </row>
    <row r="50" spans="13:16" x14ac:dyDescent="0.25">
      <c r="M50" s="1" t="s">
        <v>56</v>
      </c>
      <c r="N50" s="1" t="s">
        <v>330</v>
      </c>
      <c r="O50" s="1" t="s">
        <v>197</v>
      </c>
      <c r="P50" s="1" t="s">
        <v>321</v>
      </c>
    </row>
    <row r="51" spans="13:16" x14ac:dyDescent="0.25">
      <c r="M51" s="1" t="s">
        <v>56</v>
      </c>
      <c r="N51" s="1" t="s">
        <v>330</v>
      </c>
      <c r="O51" s="1" t="s">
        <v>198</v>
      </c>
      <c r="P51" s="1" t="s">
        <v>321</v>
      </c>
    </row>
    <row r="52" spans="13:16" x14ac:dyDescent="0.25">
      <c r="M52" s="1" t="s">
        <v>56</v>
      </c>
      <c r="N52" s="1" t="s">
        <v>330</v>
      </c>
      <c r="O52" s="1" t="s">
        <v>199</v>
      </c>
      <c r="P52" s="1" t="s">
        <v>321</v>
      </c>
    </row>
    <row r="53" spans="13:16" x14ac:dyDescent="0.25">
      <c r="M53" s="1" t="s">
        <v>56</v>
      </c>
      <c r="N53" s="1" t="s">
        <v>330</v>
      </c>
      <c r="O53" s="1" t="s">
        <v>200</v>
      </c>
      <c r="P53" s="1" t="s">
        <v>321</v>
      </c>
    </row>
    <row r="54" spans="13:16" x14ac:dyDescent="0.25">
      <c r="M54" s="1" t="s">
        <v>56</v>
      </c>
      <c r="N54" s="1" t="s">
        <v>330</v>
      </c>
      <c r="O54" s="1" t="s">
        <v>201</v>
      </c>
      <c r="P54" s="1" t="s">
        <v>321</v>
      </c>
    </row>
    <row r="55" spans="13:16" x14ac:dyDescent="0.25">
      <c r="M55" s="1" t="s">
        <v>56</v>
      </c>
      <c r="N55" s="1" t="s">
        <v>330</v>
      </c>
      <c r="O55" s="1" t="s">
        <v>391</v>
      </c>
      <c r="P55" s="1" t="s">
        <v>321</v>
      </c>
    </row>
    <row r="56" spans="13:16" x14ac:dyDescent="0.25">
      <c r="M56" s="1" t="s">
        <v>56</v>
      </c>
      <c r="N56" s="1" t="s">
        <v>330</v>
      </c>
      <c r="O56" s="1" t="s">
        <v>390</v>
      </c>
      <c r="P56" s="1" t="s">
        <v>321</v>
      </c>
    </row>
    <row r="57" spans="13:16" x14ac:dyDescent="0.25">
      <c r="M57" s="1" t="s">
        <v>56</v>
      </c>
      <c r="N57" s="1" t="s">
        <v>339</v>
      </c>
      <c r="O57" s="1" t="s">
        <v>198</v>
      </c>
      <c r="P57" s="1" t="s">
        <v>322</v>
      </c>
    </row>
    <row r="58" spans="13:16" x14ac:dyDescent="0.25">
      <c r="M58" s="1" t="s">
        <v>56</v>
      </c>
      <c r="N58" s="1" t="s">
        <v>339</v>
      </c>
      <c r="O58" s="1" t="s">
        <v>199</v>
      </c>
      <c r="P58" s="1" t="s">
        <v>322</v>
      </c>
    </row>
    <row r="59" spans="13:16" x14ac:dyDescent="0.25">
      <c r="M59" s="1" t="s">
        <v>56</v>
      </c>
      <c r="N59" s="1" t="s">
        <v>339</v>
      </c>
      <c r="O59" s="1" t="s">
        <v>200</v>
      </c>
      <c r="P59" s="1" t="s">
        <v>322</v>
      </c>
    </row>
    <row r="60" spans="13:16" x14ac:dyDescent="0.25">
      <c r="M60" s="1" t="s">
        <v>56</v>
      </c>
      <c r="N60" s="1" t="s">
        <v>339</v>
      </c>
      <c r="O60" s="1" t="s">
        <v>201</v>
      </c>
      <c r="P60" s="1" t="s">
        <v>322</v>
      </c>
    </row>
    <row r="61" spans="13:16" x14ac:dyDescent="0.25">
      <c r="M61" s="1" t="s">
        <v>56</v>
      </c>
      <c r="N61" s="1" t="s">
        <v>339</v>
      </c>
      <c r="O61" s="1" t="s">
        <v>391</v>
      </c>
      <c r="P61" s="1" t="s">
        <v>322</v>
      </c>
    </row>
    <row r="62" spans="13:16" x14ac:dyDescent="0.25">
      <c r="M62" s="1" t="s">
        <v>56</v>
      </c>
      <c r="N62" s="1" t="s">
        <v>339</v>
      </c>
      <c r="O62" s="1" t="s">
        <v>390</v>
      </c>
      <c r="P62" s="1" t="s">
        <v>322</v>
      </c>
    </row>
    <row r="63" spans="13:16" x14ac:dyDescent="0.25">
      <c r="M63" s="1" t="s">
        <v>55</v>
      </c>
      <c r="N63" s="1" t="s">
        <v>371</v>
      </c>
      <c r="O63" s="1" t="s">
        <v>201</v>
      </c>
      <c r="P63" s="1" t="s">
        <v>341</v>
      </c>
    </row>
    <row r="64" spans="13:16" x14ac:dyDescent="0.25">
      <c r="M64" s="1" t="s">
        <v>55</v>
      </c>
      <c r="N64" s="1" t="s">
        <v>371</v>
      </c>
      <c r="O64" s="1" t="s">
        <v>391</v>
      </c>
      <c r="P64" s="1" t="s">
        <v>341</v>
      </c>
    </row>
    <row r="65" spans="13:16" x14ac:dyDescent="0.25">
      <c r="M65" s="1" t="s">
        <v>55</v>
      </c>
      <c r="N65" s="1" t="s">
        <v>371</v>
      </c>
      <c r="O65" s="1" t="s">
        <v>390</v>
      </c>
      <c r="P65" s="1" t="s">
        <v>341</v>
      </c>
    </row>
    <row r="66" spans="13:16" x14ac:dyDescent="0.25">
      <c r="M66" s="1" t="s">
        <v>55</v>
      </c>
      <c r="N66" s="1" t="s">
        <v>328</v>
      </c>
      <c r="O66" s="1" t="s">
        <v>197</v>
      </c>
      <c r="P66" s="1" t="s">
        <v>321</v>
      </c>
    </row>
    <row r="67" spans="13:16" x14ac:dyDescent="0.25">
      <c r="M67" s="1" t="s">
        <v>55</v>
      </c>
      <c r="N67" s="1" t="s">
        <v>328</v>
      </c>
      <c r="O67" s="1" t="s">
        <v>198</v>
      </c>
      <c r="P67" s="1" t="s">
        <v>321</v>
      </c>
    </row>
    <row r="68" spans="13:16" x14ac:dyDescent="0.25">
      <c r="M68" s="1" t="s">
        <v>55</v>
      </c>
      <c r="N68" s="1" t="s">
        <v>328</v>
      </c>
      <c r="O68" s="1" t="s">
        <v>199</v>
      </c>
      <c r="P68" s="1" t="s">
        <v>321</v>
      </c>
    </row>
    <row r="69" spans="13:16" x14ac:dyDescent="0.25">
      <c r="M69" s="1" t="s">
        <v>55</v>
      </c>
      <c r="N69" s="1" t="s">
        <v>328</v>
      </c>
      <c r="O69" s="1" t="s">
        <v>200</v>
      </c>
      <c r="P69" s="1" t="s">
        <v>321</v>
      </c>
    </row>
    <row r="70" spans="13:16" x14ac:dyDescent="0.25">
      <c r="M70" s="1" t="s">
        <v>55</v>
      </c>
      <c r="N70" s="1" t="s">
        <v>328</v>
      </c>
      <c r="O70" s="1" t="s">
        <v>201</v>
      </c>
      <c r="P70" s="1" t="s">
        <v>321</v>
      </c>
    </row>
    <row r="71" spans="13:16" x14ac:dyDescent="0.25">
      <c r="M71" s="1" t="s">
        <v>55</v>
      </c>
      <c r="N71" s="1" t="s">
        <v>328</v>
      </c>
      <c r="O71" s="1" t="s">
        <v>391</v>
      </c>
      <c r="P71" s="1" t="s">
        <v>321</v>
      </c>
    </row>
    <row r="72" spans="13:16" x14ac:dyDescent="0.25">
      <c r="M72" s="1" t="s">
        <v>55</v>
      </c>
      <c r="N72" s="1" t="s">
        <v>328</v>
      </c>
      <c r="O72" s="1" t="s">
        <v>390</v>
      </c>
      <c r="P72" s="1" t="s">
        <v>321</v>
      </c>
    </row>
    <row r="73" spans="13:16" x14ac:dyDescent="0.25">
      <c r="M73" s="1" t="s">
        <v>55</v>
      </c>
      <c r="N73" s="1" t="s">
        <v>337</v>
      </c>
      <c r="O73" s="1" t="s">
        <v>198</v>
      </c>
      <c r="P73" s="1" t="s">
        <v>322</v>
      </c>
    </row>
    <row r="74" spans="13:16" x14ac:dyDescent="0.25">
      <c r="M74" s="1" t="s">
        <v>55</v>
      </c>
      <c r="N74" s="1" t="s">
        <v>337</v>
      </c>
      <c r="O74" s="1" t="s">
        <v>199</v>
      </c>
      <c r="P74" s="1" t="s">
        <v>322</v>
      </c>
    </row>
    <row r="75" spans="13:16" x14ac:dyDescent="0.25">
      <c r="M75" s="1" t="s">
        <v>55</v>
      </c>
      <c r="N75" s="1" t="s">
        <v>337</v>
      </c>
      <c r="O75" s="1" t="s">
        <v>200</v>
      </c>
      <c r="P75" s="1" t="s">
        <v>322</v>
      </c>
    </row>
    <row r="76" spans="13:16" x14ac:dyDescent="0.25">
      <c r="M76" s="1" t="s">
        <v>55</v>
      </c>
      <c r="N76" s="1" t="s">
        <v>337</v>
      </c>
      <c r="O76" s="1" t="s">
        <v>201</v>
      </c>
      <c r="P76" s="1" t="s">
        <v>322</v>
      </c>
    </row>
    <row r="77" spans="13:16" x14ac:dyDescent="0.25">
      <c r="M77" s="1" t="s">
        <v>55</v>
      </c>
      <c r="N77" s="1" t="s">
        <v>337</v>
      </c>
      <c r="O77" s="1" t="s">
        <v>391</v>
      </c>
      <c r="P77" s="1" t="s">
        <v>322</v>
      </c>
    </row>
    <row r="78" spans="13:16" x14ac:dyDescent="0.25">
      <c r="M78" s="1" t="s">
        <v>55</v>
      </c>
      <c r="N78" s="1" t="s">
        <v>337</v>
      </c>
      <c r="O78" s="1" t="s">
        <v>390</v>
      </c>
      <c r="P78" s="1" t="s">
        <v>322</v>
      </c>
    </row>
    <row r="79" spans="13:16" x14ac:dyDescent="0.25">
      <c r="M79" s="1" t="s">
        <v>56</v>
      </c>
      <c r="N79" s="1" t="s">
        <v>372</v>
      </c>
      <c r="O79" s="1" t="s">
        <v>201</v>
      </c>
      <c r="P79" s="1" t="s">
        <v>341</v>
      </c>
    </row>
    <row r="80" spans="13:16" x14ac:dyDescent="0.25">
      <c r="M80" s="1" t="s">
        <v>56</v>
      </c>
      <c r="N80" s="1" t="s">
        <v>372</v>
      </c>
      <c r="O80" s="1" t="s">
        <v>391</v>
      </c>
      <c r="P80" s="1" t="s">
        <v>341</v>
      </c>
    </row>
    <row r="81" spans="13:16" x14ac:dyDescent="0.25">
      <c r="M81" s="1" t="s">
        <v>56</v>
      </c>
      <c r="N81" s="1" t="s">
        <v>372</v>
      </c>
      <c r="O81" s="1" t="s">
        <v>390</v>
      </c>
      <c r="P81" s="1" t="s">
        <v>341</v>
      </c>
    </row>
    <row r="82" spans="13:16" x14ac:dyDescent="0.25">
      <c r="M82" s="1" t="s">
        <v>56</v>
      </c>
      <c r="N82" s="1" t="s">
        <v>331</v>
      </c>
      <c r="O82" s="1" t="s">
        <v>197</v>
      </c>
      <c r="P82" s="1" t="s">
        <v>321</v>
      </c>
    </row>
    <row r="83" spans="13:16" x14ac:dyDescent="0.25">
      <c r="M83" s="1" t="s">
        <v>56</v>
      </c>
      <c r="N83" s="1" t="s">
        <v>331</v>
      </c>
      <c r="O83" s="1" t="s">
        <v>198</v>
      </c>
      <c r="P83" s="1" t="s">
        <v>321</v>
      </c>
    </row>
    <row r="84" spans="13:16" x14ac:dyDescent="0.25">
      <c r="M84" s="1" t="s">
        <v>56</v>
      </c>
      <c r="N84" s="1" t="s">
        <v>331</v>
      </c>
      <c r="O84" s="1" t="s">
        <v>199</v>
      </c>
      <c r="P84" s="1" t="s">
        <v>321</v>
      </c>
    </row>
    <row r="85" spans="13:16" x14ac:dyDescent="0.25">
      <c r="M85" s="1" t="s">
        <v>56</v>
      </c>
      <c r="N85" s="1" t="s">
        <v>331</v>
      </c>
      <c r="O85" s="1" t="s">
        <v>200</v>
      </c>
      <c r="P85" s="1" t="s">
        <v>321</v>
      </c>
    </row>
    <row r="86" spans="13:16" x14ac:dyDescent="0.25">
      <c r="M86" s="1" t="s">
        <v>56</v>
      </c>
      <c r="N86" s="1" t="s">
        <v>331</v>
      </c>
      <c r="O86" s="1" t="s">
        <v>201</v>
      </c>
      <c r="P86" s="1" t="s">
        <v>321</v>
      </c>
    </row>
    <row r="87" spans="13:16" x14ac:dyDescent="0.25">
      <c r="M87" s="1" t="s">
        <v>56</v>
      </c>
      <c r="N87" s="1" t="s">
        <v>331</v>
      </c>
      <c r="O87" s="1" t="s">
        <v>391</v>
      </c>
      <c r="P87" s="1" t="s">
        <v>321</v>
      </c>
    </row>
    <row r="88" spans="13:16" x14ac:dyDescent="0.25">
      <c r="M88" s="1" t="s">
        <v>56</v>
      </c>
      <c r="N88" s="1" t="s">
        <v>331</v>
      </c>
      <c r="O88" s="1" t="s">
        <v>390</v>
      </c>
      <c r="P88" s="1" t="s">
        <v>321</v>
      </c>
    </row>
    <row r="89" spans="13:16" x14ac:dyDescent="0.25">
      <c r="M89" s="1" t="s">
        <v>56</v>
      </c>
      <c r="N89" s="1" t="s">
        <v>340</v>
      </c>
      <c r="O89" s="1" t="s">
        <v>198</v>
      </c>
      <c r="P89" s="1" t="s">
        <v>322</v>
      </c>
    </row>
    <row r="90" spans="13:16" x14ac:dyDescent="0.25">
      <c r="M90" s="1" t="s">
        <v>56</v>
      </c>
      <c r="N90" s="1" t="s">
        <v>340</v>
      </c>
      <c r="O90" s="1" t="s">
        <v>199</v>
      </c>
      <c r="P90" s="1" t="s">
        <v>322</v>
      </c>
    </row>
    <row r="91" spans="13:16" x14ac:dyDescent="0.25">
      <c r="M91" s="1" t="s">
        <v>56</v>
      </c>
      <c r="N91" s="1" t="s">
        <v>340</v>
      </c>
      <c r="O91" s="1" t="s">
        <v>200</v>
      </c>
      <c r="P91" s="1" t="s">
        <v>322</v>
      </c>
    </row>
    <row r="92" spans="13:16" x14ac:dyDescent="0.25">
      <c r="M92" s="1" t="s">
        <v>56</v>
      </c>
      <c r="N92" s="1" t="s">
        <v>340</v>
      </c>
      <c r="O92" s="1" t="s">
        <v>201</v>
      </c>
      <c r="P92" s="1" t="s">
        <v>322</v>
      </c>
    </row>
    <row r="93" spans="13:16" x14ac:dyDescent="0.25">
      <c r="M93" s="1" t="s">
        <v>56</v>
      </c>
      <c r="N93" s="1" t="s">
        <v>340</v>
      </c>
      <c r="O93" s="1" t="s">
        <v>391</v>
      </c>
      <c r="P93" s="1" t="s">
        <v>322</v>
      </c>
    </row>
    <row r="94" spans="13:16" x14ac:dyDescent="0.25">
      <c r="M94" s="1" t="s">
        <v>56</v>
      </c>
      <c r="N94" s="1" t="s">
        <v>340</v>
      </c>
      <c r="O94" s="1" t="s">
        <v>390</v>
      </c>
      <c r="P94" s="1" t="s">
        <v>322</v>
      </c>
    </row>
    <row r="95" spans="13:16" x14ac:dyDescent="0.25">
      <c r="M95" s="1" t="s">
        <v>55</v>
      </c>
      <c r="N95" s="1" t="s">
        <v>373</v>
      </c>
      <c r="O95" s="1" t="s">
        <v>201</v>
      </c>
      <c r="P95" s="1" t="s">
        <v>341</v>
      </c>
    </row>
    <row r="96" spans="13:16" x14ac:dyDescent="0.25">
      <c r="M96" s="1" t="s">
        <v>55</v>
      </c>
      <c r="N96" s="1" t="s">
        <v>373</v>
      </c>
      <c r="O96" s="1" t="s">
        <v>391</v>
      </c>
      <c r="P96" s="1" t="s">
        <v>341</v>
      </c>
    </row>
    <row r="97" spans="13:16" x14ac:dyDescent="0.25">
      <c r="M97" s="1" t="s">
        <v>55</v>
      </c>
      <c r="N97" s="1" t="s">
        <v>373</v>
      </c>
      <c r="O97" s="1" t="s">
        <v>390</v>
      </c>
      <c r="P97" s="1" t="s">
        <v>341</v>
      </c>
    </row>
    <row r="98" spans="13:16" x14ac:dyDescent="0.25">
      <c r="M98" s="1" t="s">
        <v>55</v>
      </c>
      <c r="N98" s="1" t="s">
        <v>329</v>
      </c>
      <c r="O98" s="1" t="s">
        <v>197</v>
      </c>
      <c r="P98" s="1" t="s">
        <v>321</v>
      </c>
    </row>
    <row r="99" spans="13:16" x14ac:dyDescent="0.25">
      <c r="M99" s="1" t="s">
        <v>55</v>
      </c>
      <c r="N99" s="1" t="s">
        <v>329</v>
      </c>
      <c r="O99" s="1" t="s">
        <v>198</v>
      </c>
      <c r="P99" s="1" t="s">
        <v>321</v>
      </c>
    </row>
    <row r="100" spans="13:16" x14ac:dyDescent="0.25">
      <c r="M100" s="1" t="s">
        <v>55</v>
      </c>
      <c r="N100" s="1" t="s">
        <v>329</v>
      </c>
      <c r="O100" s="1" t="s">
        <v>199</v>
      </c>
      <c r="P100" s="1" t="s">
        <v>321</v>
      </c>
    </row>
    <row r="101" spans="13:16" x14ac:dyDescent="0.25">
      <c r="M101" s="1" t="s">
        <v>55</v>
      </c>
      <c r="N101" s="1" t="s">
        <v>329</v>
      </c>
      <c r="O101" s="1" t="s">
        <v>200</v>
      </c>
      <c r="P101" s="1" t="s">
        <v>321</v>
      </c>
    </row>
    <row r="102" spans="13:16" x14ac:dyDescent="0.25">
      <c r="M102" s="1" t="s">
        <v>55</v>
      </c>
      <c r="N102" s="1" t="s">
        <v>329</v>
      </c>
      <c r="O102" s="1" t="s">
        <v>201</v>
      </c>
      <c r="P102" s="1" t="s">
        <v>321</v>
      </c>
    </row>
    <row r="103" spans="13:16" x14ac:dyDescent="0.25">
      <c r="M103" s="1" t="s">
        <v>55</v>
      </c>
      <c r="N103" s="1" t="s">
        <v>329</v>
      </c>
      <c r="O103" s="1" t="s">
        <v>391</v>
      </c>
      <c r="P103" s="1" t="s">
        <v>321</v>
      </c>
    </row>
    <row r="104" spans="13:16" x14ac:dyDescent="0.25">
      <c r="M104" s="1" t="s">
        <v>55</v>
      </c>
      <c r="N104" s="1" t="s">
        <v>329</v>
      </c>
      <c r="O104" s="1" t="s">
        <v>390</v>
      </c>
      <c r="P104" s="1" t="s">
        <v>321</v>
      </c>
    </row>
    <row r="105" spans="13:16" x14ac:dyDescent="0.25">
      <c r="M105" s="1" t="s">
        <v>55</v>
      </c>
      <c r="N105" s="1" t="s">
        <v>338</v>
      </c>
      <c r="O105" s="1" t="s">
        <v>198</v>
      </c>
      <c r="P105" s="1" t="s">
        <v>322</v>
      </c>
    </row>
    <row r="106" spans="13:16" x14ac:dyDescent="0.25">
      <c r="M106" s="1" t="s">
        <v>55</v>
      </c>
      <c r="N106" s="1" t="s">
        <v>338</v>
      </c>
      <c r="O106" s="1" t="s">
        <v>199</v>
      </c>
      <c r="P106" s="1" t="s">
        <v>322</v>
      </c>
    </row>
    <row r="107" spans="13:16" x14ac:dyDescent="0.25">
      <c r="M107" s="1" t="s">
        <v>55</v>
      </c>
      <c r="N107" s="1" t="s">
        <v>338</v>
      </c>
      <c r="O107" s="1" t="s">
        <v>200</v>
      </c>
      <c r="P107" s="1" t="s">
        <v>322</v>
      </c>
    </row>
    <row r="108" spans="13:16" x14ac:dyDescent="0.25">
      <c r="M108" s="1" t="s">
        <v>55</v>
      </c>
      <c r="N108" s="1" t="s">
        <v>338</v>
      </c>
      <c r="O108" s="1" t="s">
        <v>201</v>
      </c>
      <c r="P108" s="1" t="s">
        <v>322</v>
      </c>
    </row>
    <row r="109" spans="13:16" x14ac:dyDescent="0.25">
      <c r="M109" s="1" t="s">
        <v>55</v>
      </c>
      <c r="N109" s="1" t="s">
        <v>338</v>
      </c>
      <c r="O109" s="1" t="s">
        <v>391</v>
      </c>
      <c r="P109" s="1" t="s">
        <v>322</v>
      </c>
    </row>
    <row r="110" spans="13:16" x14ac:dyDescent="0.25">
      <c r="M110" s="1" t="s">
        <v>55</v>
      </c>
      <c r="N110" s="1" t="s">
        <v>338</v>
      </c>
      <c r="O110" s="1" t="s">
        <v>390</v>
      </c>
      <c r="P110" s="1" t="s">
        <v>322</v>
      </c>
    </row>
    <row r="111" spans="13:16" x14ac:dyDescent="0.25">
      <c r="M111" s="1" t="s">
        <v>54</v>
      </c>
      <c r="N111" s="1" t="s">
        <v>58</v>
      </c>
      <c r="O111" s="1" t="s">
        <v>198</v>
      </c>
      <c r="P111" s="1" t="s">
        <v>341</v>
      </c>
    </row>
    <row r="112" spans="13:16" x14ac:dyDescent="0.25">
      <c r="M112" s="1" t="s">
        <v>54</v>
      </c>
      <c r="N112" s="1" t="s">
        <v>58</v>
      </c>
      <c r="O112" s="1" t="s">
        <v>199</v>
      </c>
      <c r="P112" s="1" t="s">
        <v>341</v>
      </c>
    </row>
    <row r="113" spans="13:16" x14ac:dyDescent="0.25">
      <c r="M113" s="1" t="s">
        <v>54</v>
      </c>
      <c r="N113" s="1" t="s">
        <v>58</v>
      </c>
      <c r="O113" s="1" t="s">
        <v>200</v>
      </c>
      <c r="P113" s="1" t="s">
        <v>341</v>
      </c>
    </row>
    <row r="114" spans="13:16" x14ac:dyDescent="0.25">
      <c r="M114" s="1" t="s">
        <v>54</v>
      </c>
      <c r="N114" s="1" t="s">
        <v>58</v>
      </c>
      <c r="O114" s="1" t="s">
        <v>201</v>
      </c>
      <c r="P114" s="1" t="s">
        <v>341</v>
      </c>
    </row>
    <row r="115" spans="13:16" x14ac:dyDescent="0.25">
      <c r="M115" s="1" t="s">
        <v>54</v>
      </c>
      <c r="N115" s="1" t="s">
        <v>374</v>
      </c>
      <c r="O115" s="1" t="s">
        <v>201</v>
      </c>
      <c r="P115" s="1" t="s">
        <v>341</v>
      </c>
    </row>
    <row r="116" spans="13:16" x14ac:dyDescent="0.25">
      <c r="M116" s="1" t="s">
        <v>54</v>
      </c>
      <c r="N116" s="1" t="s">
        <v>326</v>
      </c>
      <c r="O116" s="1" t="s">
        <v>197</v>
      </c>
      <c r="P116" s="1" t="s">
        <v>321</v>
      </c>
    </row>
    <row r="117" spans="13:16" x14ac:dyDescent="0.25">
      <c r="M117" s="1" t="s">
        <v>54</v>
      </c>
      <c r="N117" s="1" t="s">
        <v>326</v>
      </c>
      <c r="O117" s="1" t="s">
        <v>198</v>
      </c>
      <c r="P117" s="1" t="s">
        <v>321</v>
      </c>
    </row>
    <row r="118" spans="13:16" x14ac:dyDescent="0.25">
      <c r="M118" s="1" t="s">
        <v>54</v>
      </c>
      <c r="N118" s="1" t="s">
        <v>326</v>
      </c>
      <c r="O118" s="1" t="s">
        <v>199</v>
      </c>
      <c r="P118" s="1" t="s">
        <v>321</v>
      </c>
    </row>
    <row r="119" spans="13:16" x14ac:dyDescent="0.25">
      <c r="M119" s="1" t="s">
        <v>54</v>
      </c>
      <c r="N119" s="1" t="s">
        <v>326</v>
      </c>
      <c r="O119" s="1" t="s">
        <v>200</v>
      </c>
      <c r="P119" s="1" t="s">
        <v>321</v>
      </c>
    </row>
    <row r="120" spans="13:16" x14ac:dyDescent="0.25">
      <c r="M120" s="1" t="s">
        <v>54</v>
      </c>
      <c r="N120" s="1" t="s">
        <v>326</v>
      </c>
      <c r="O120" s="1" t="s">
        <v>201</v>
      </c>
      <c r="P120" s="1" t="s">
        <v>321</v>
      </c>
    </row>
    <row r="121" spans="13:16" x14ac:dyDescent="0.25">
      <c r="M121" s="1" t="s">
        <v>54</v>
      </c>
      <c r="N121" s="1" t="s">
        <v>335</v>
      </c>
      <c r="O121" s="1" t="s">
        <v>198</v>
      </c>
      <c r="P121" s="1" t="s">
        <v>322</v>
      </c>
    </row>
    <row r="122" spans="13:16" x14ac:dyDescent="0.25">
      <c r="M122" s="1" t="s">
        <v>54</v>
      </c>
      <c r="N122" s="1" t="s">
        <v>335</v>
      </c>
      <c r="O122" s="1" t="s">
        <v>199</v>
      </c>
      <c r="P122" s="1" t="s">
        <v>322</v>
      </c>
    </row>
    <row r="123" spans="13:16" x14ac:dyDescent="0.25">
      <c r="M123" s="1" t="s">
        <v>54</v>
      </c>
      <c r="N123" s="1" t="s">
        <v>335</v>
      </c>
      <c r="O123" s="1" t="s">
        <v>200</v>
      </c>
      <c r="P123" s="1" t="s">
        <v>322</v>
      </c>
    </row>
    <row r="124" spans="13:16" x14ac:dyDescent="0.25">
      <c r="M124" s="1" t="s">
        <v>54</v>
      </c>
      <c r="N124" s="1" t="s">
        <v>335</v>
      </c>
      <c r="O124" s="1" t="s">
        <v>201</v>
      </c>
      <c r="P124" s="1" t="s">
        <v>322</v>
      </c>
    </row>
    <row r="125" spans="13:16" x14ac:dyDescent="0.25">
      <c r="M125" s="1" t="s">
        <v>55</v>
      </c>
      <c r="N125" s="1" t="s">
        <v>375</v>
      </c>
      <c r="O125" s="1" t="s">
        <v>201</v>
      </c>
      <c r="P125" s="1" t="s">
        <v>341</v>
      </c>
    </row>
    <row r="126" spans="13:16" x14ac:dyDescent="0.25">
      <c r="M126" s="1" t="s">
        <v>55</v>
      </c>
      <c r="N126" s="1" t="s">
        <v>375</v>
      </c>
      <c r="O126" s="1" t="s">
        <v>391</v>
      </c>
      <c r="P126" s="1" t="s">
        <v>341</v>
      </c>
    </row>
    <row r="127" spans="13:16" x14ac:dyDescent="0.25">
      <c r="M127" s="1" t="s">
        <v>55</v>
      </c>
      <c r="N127" s="1" t="s">
        <v>375</v>
      </c>
      <c r="O127" s="1" t="s">
        <v>390</v>
      </c>
      <c r="P127" s="1" t="s">
        <v>341</v>
      </c>
    </row>
    <row r="128" spans="13:16" x14ac:dyDescent="0.25">
      <c r="M128" s="1" t="s">
        <v>55</v>
      </c>
      <c r="N128" s="1" t="s">
        <v>327</v>
      </c>
      <c r="O128" s="1" t="s">
        <v>197</v>
      </c>
      <c r="P128" s="1" t="s">
        <v>321</v>
      </c>
    </row>
    <row r="129" spans="13:16" x14ac:dyDescent="0.25">
      <c r="M129" s="1" t="s">
        <v>55</v>
      </c>
      <c r="N129" s="1" t="s">
        <v>327</v>
      </c>
      <c r="O129" s="1" t="s">
        <v>198</v>
      </c>
      <c r="P129" s="1" t="s">
        <v>321</v>
      </c>
    </row>
    <row r="130" spans="13:16" x14ac:dyDescent="0.25">
      <c r="M130" s="1" t="s">
        <v>55</v>
      </c>
      <c r="N130" s="1" t="s">
        <v>327</v>
      </c>
      <c r="O130" s="1" t="s">
        <v>199</v>
      </c>
      <c r="P130" s="1" t="s">
        <v>321</v>
      </c>
    </row>
    <row r="131" spans="13:16" x14ac:dyDescent="0.25">
      <c r="M131" s="1" t="s">
        <v>55</v>
      </c>
      <c r="N131" s="1" t="s">
        <v>327</v>
      </c>
      <c r="O131" s="1" t="s">
        <v>200</v>
      </c>
      <c r="P131" s="1" t="s">
        <v>321</v>
      </c>
    </row>
    <row r="132" spans="13:16" x14ac:dyDescent="0.25">
      <c r="M132" s="1" t="s">
        <v>55</v>
      </c>
      <c r="N132" s="1" t="s">
        <v>327</v>
      </c>
      <c r="O132" s="1" t="s">
        <v>201</v>
      </c>
      <c r="P132" s="1" t="s">
        <v>321</v>
      </c>
    </row>
    <row r="133" spans="13:16" x14ac:dyDescent="0.25">
      <c r="M133" s="1" t="s">
        <v>55</v>
      </c>
      <c r="N133" s="1" t="s">
        <v>327</v>
      </c>
      <c r="O133" s="1" t="s">
        <v>391</v>
      </c>
      <c r="P133" s="1" t="s">
        <v>321</v>
      </c>
    </row>
    <row r="134" spans="13:16" x14ac:dyDescent="0.25">
      <c r="M134" s="1" t="s">
        <v>55</v>
      </c>
      <c r="N134" s="1" t="s">
        <v>327</v>
      </c>
      <c r="O134" s="1" t="s">
        <v>390</v>
      </c>
      <c r="P134" s="1" t="s">
        <v>321</v>
      </c>
    </row>
    <row r="135" spans="13:16" x14ac:dyDescent="0.25">
      <c r="M135" s="1" t="s">
        <v>55</v>
      </c>
      <c r="N135" s="1" t="s">
        <v>336</v>
      </c>
      <c r="O135" s="1" t="s">
        <v>198</v>
      </c>
      <c r="P135" s="1" t="s">
        <v>322</v>
      </c>
    </row>
    <row r="136" spans="13:16" x14ac:dyDescent="0.25">
      <c r="M136" s="1" t="s">
        <v>55</v>
      </c>
      <c r="N136" s="1" t="s">
        <v>336</v>
      </c>
      <c r="O136" s="1" t="s">
        <v>199</v>
      </c>
      <c r="P136" s="1" t="s">
        <v>322</v>
      </c>
    </row>
    <row r="137" spans="13:16" x14ac:dyDescent="0.25">
      <c r="M137" s="1" t="s">
        <v>55</v>
      </c>
      <c r="N137" s="1" t="s">
        <v>336</v>
      </c>
      <c r="O137" s="1" t="s">
        <v>200</v>
      </c>
      <c r="P137" s="1" t="s">
        <v>322</v>
      </c>
    </row>
    <row r="138" spans="13:16" x14ac:dyDescent="0.25">
      <c r="M138" s="1" t="s">
        <v>55</v>
      </c>
      <c r="N138" s="1" t="s">
        <v>336</v>
      </c>
      <c r="O138" s="1" t="s">
        <v>201</v>
      </c>
      <c r="P138" s="1" t="s">
        <v>322</v>
      </c>
    </row>
    <row r="139" spans="13:16" x14ac:dyDescent="0.25">
      <c r="M139" s="1" t="s">
        <v>55</v>
      </c>
      <c r="N139" s="1" t="s">
        <v>336</v>
      </c>
      <c r="O139" s="1" t="s">
        <v>391</v>
      </c>
      <c r="P139" s="1" t="s">
        <v>322</v>
      </c>
    </row>
    <row r="140" spans="13:16" x14ac:dyDescent="0.25">
      <c r="M140" s="1" t="s">
        <v>55</v>
      </c>
      <c r="N140" s="1" t="s">
        <v>336</v>
      </c>
      <c r="O140" s="1" t="s">
        <v>390</v>
      </c>
      <c r="P140" s="1" t="s">
        <v>322</v>
      </c>
    </row>
    <row r="141" spans="13:16" x14ac:dyDescent="0.25">
      <c r="M141" s="1" t="s">
        <v>56</v>
      </c>
      <c r="N141" s="1" t="s">
        <v>521</v>
      </c>
      <c r="O141" s="1" t="s">
        <v>201</v>
      </c>
      <c r="P141" s="1" t="s">
        <v>341</v>
      </c>
    </row>
    <row r="142" spans="13:16" x14ac:dyDescent="0.25">
      <c r="M142" s="1" t="s">
        <v>56</v>
      </c>
      <c r="N142" s="1" t="s">
        <v>521</v>
      </c>
      <c r="O142" s="1" t="s">
        <v>391</v>
      </c>
      <c r="P142" s="1" t="s">
        <v>341</v>
      </c>
    </row>
    <row r="143" spans="13:16" x14ac:dyDescent="0.25">
      <c r="M143" s="1" t="s">
        <v>56</v>
      </c>
      <c r="N143" s="1" t="s">
        <v>521</v>
      </c>
      <c r="O143" s="1" t="s">
        <v>390</v>
      </c>
      <c r="P143" s="1" t="s">
        <v>341</v>
      </c>
    </row>
    <row r="144" spans="13:16" x14ac:dyDescent="0.25">
      <c r="M144" s="1" t="s">
        <v>56</v>
      </c>
      <c r="N144" s="1" t="s">
        <v>519</v>
      </c>
      <c r="O144" s="1" t="s">
        <v>197</v>
      </c>
      <c r="P144" s="1" t="s">
        <v>321</v>
      </c>
    </row>
    <row r="145" spans="13:16" x14ac:dyDescent="0.25">
      <c r="M145" s="1" t="s">
        <v>56</v>
      </c>
      <c r="N145" s="1" t="s">
        <v>519</v>
      </c>
      <c r="O145" s="1" t="s">
        <v>198</v>
      </c>
      <c r="P145" s="1" t="s">
        <v>321</v>
      </c>
    </row>
    <row r="146" spans="13:16" x14ac:dyDescent="0.25">
      <c r="M146" s="1" t="s">
        <v>56</v>
      </c>
      <c r="N146" s="1" t="s">
        <v>519</v>
      </c>
      <c r="O146" s="1" t="s">
        <v>199</v>
      </c>
      <c r="P146" s="1" t="s">
        <v>321</v>
      </c>
    </row>
    <row r="147" spans="13:16" x14ac:dyDescent="0.25">
      <c r="M147" s="1" t="s">
        <v>56</v>
      </c>
      <c r="N147" s="1" t="s">
        <v>519</v>
      </c>
      <c r="O147" s="1" t="s">
        <v>200</v>
      </c>
      <c r="P147" s="1" t="s">
        <v>321</v>
      </c>
    </row>
    <row r="148" spans="13:16" x14ac:dyDescent="0.25">
      <c r="M148" s="1" t="s">
        <v>56</v>
      </c>
      <c r="N148" s="1" t="s">
        <v>519</v>
      </c>
      <c r="O148" s="1" t="s">
        <v>201</v>
      </c>
      <c r="P148" s="1" t="s">
        <v>321</v>
      </c>
    </row>
    <row r="149" spans="13:16" x14ac:dyDescent="0.25">
      <c r="M149" s="1" t="s">
        <v>56</v>
      </c>
      <c r="N149" s="1" t="s">
        <v>519</v>
      </c>
      <c r="O149" s="1" t="s">
        <v>391</v>
      </c>
      <c r="P149" s="1" t="s">
        <v>321</v>
      </c>
    </row>
    <row r="150" spans="13:16" x14ac:dyDescent="0.25">
      <c r="M150" s="1" t="s">
        <v>56</v>
      </c>
      <c r="N150" s="1" t="s">
        <v>519</v>
      </c>
      <c r="O150" s="1" t="s">
        <v>390</v>
      </c>
      <c r="P150" s="1" t="s">
        <v>321</v>
      </c>
    </row>
    <row r="151" spans="13:16" x14ac:dyDescent="0.25">
      <c r="M151" s="1" t="s">
        <v>56</v>
      </c>
      <c r="N151" s="1" t="s">
        <v>522</v>
      </c>
      <c r="O151" s="1" t="s">
        <v>198</v>
      </c>
      <c r="P151" s="1" t="s">
        <v>322</v>
      </c>
    </row>
    <row r="152" spans="13:16" x14ac:dyDescent="0.25">
      <c r="M152" s="1" t="s">
        <v>56</v>
      </c>
      <c r="N152" s="1" t="s">
        <v>522</v>
      </c>
      <c r="O152" s="1" t="s">
        <v>199</v>
      </c>
      <c r="P152" s="1" t="s">
        <v>322</v>
      </c>
    </row>
    <row r="153" spans="13:16" x14ac:dyDescent="0.25">
      <c r="M153" s="1" t="s">
        <v>56</v>
      </c>
      <c r="N153" s="1" t="s">
        <v>522</v>
      </c>
      <c r="O153" s="1" t="s">
        <v>200</v>
      </c>
      <c r="P153" s="1" t="s">
        <v>322</v>
      </c>
    </row>
    <row r="154" spans="13:16" x14ac:dyDescent="0.25">
      <c r="M154" s="1" t="s">
        <v>56</v>
      </c>
      <c r="N154" s="1" t="s">
        <v>522</v>
      </c>
      <c r="O154" s="1" t="s">
        <v>201</v>
      </c>
      <c r="P154" s="1" t="s">
        <v>322</v>
      </c>
    </row>
    <row r="155" spans="13:16" x14ac:dyDescent="0.25">
      <c r="M155" s="1" t="s">
        <v>56</v>
      </c>
      <c r="N155" s="1" t="s">
        <v>522</v>
      </c>
      <c r="O155" s="1" t="s">
        <v>391</v>
      </c>
      <c r="P155" s="1" t="s">
        <v>322</v>
      </c>
    </row>
    <row r="156" spans="13:16" x14ac:dyDescent="0.25">
      <c r="M156" s="1" t="s">
        <v>56</v>
      </c>
      <c r="N156" s="1" t="s">
        <v>522</v>
      </c>
      <c r="O156" s="1" t="s">
        <v>390</v>
      </c>
      <c r="P156" s="1" t="s">
        <v>322</v>
      </c>
    </row>
    <row r="157" spans="13:16" x14ac:dyDescent="0.25">
      <c r="M157" s="1" t="s">
        <v>56</v>
      </c>
      <c r="N157" s="1" t="s">
        <v>655</v>
      </c>
      <c r="O157" s="1" t="s">
        <v>201</v>
      </c>
      <c r="P157" s="1" t="s">
        <v>341</v>
      </c>
    </row>
    <row r="158" spans="13:16" x14ac:dyDescent="0.25">
      <c r="M158" s="1" t="s">
        <v>56</v>
      </c>
      <c r="N158" s="1" t="s">
        <v>655</v>
      </c>
      <c r="O158" s="1" t="s">
        <v>391</v>
      </c>
      <c r="P158" s="1" t="s">
        <v>341</v>
      </c>
    </row>
    <row r="159" spans="13:16" x14ac:dyDescent="0.25">
      <c r="M159" s="1" t="s">
        <v>56</v>
      </c>
      <c r="N159" s="1" t="s">
        <v>655</v>
      </c>
      <c r="O159" s="1" t="s">
        <v>390</v>
      </c>
      <c r="P159" s="1" t="s">
        <v>341</v>
      </c>
    </row>
    <row r="160" spans="13:16" x14ac:dyDescent="0.25">
      <c r="M160" s="1" t="s">
        <v>56</v>
      </c>
      <c r="N160" s="1" t="s">
        <v>656</v>
      </c>
      <c r="O160" s="1" t="s">
        <v>197</v>
      </c>
      <c r="P160" s="1" t="s">
        <v>321</v>
      </c>
    </row>
    <row r="161" spans="13:16" x14ac:dyDescent="0.25">
      <c r="M161" s="1" t="s">
        <v>56</v>
      </c>
      <c r="N161" s="1" t="s">
        <v>656</v>
      </c>
      <c r="O161" s="1" t="s">
        <v>198</v>
      </c>
      <c r="P161" s="1" t="s">
        <v>321</v>
      </c>
    </row>
    <row r="162" spans="13:16" x14ac:dyDescent="0.25">
      <c r="M162" s="1" t="s">
        <v>56</v>
      </c>
      <c r="N162" s="1" t="s">
        <v>656</v>
      </c>
      <c r="O162" s="1" t="s">
        <v>199</v>
      </c>
      <c r="P162" s="1" t="s">
        <v>321</v>
      </c>
    </row>
    <row r="163" spans="13:16" x14ac:dyDescent="0.25">
      <c r="M163" s="1" t="s">
        <v>56</v>
      </c>
      <c r="N163" s="1" t="s">
        <v>656</v>
      </c>
      <c r="O163" s="1" t="s">
        <v>200</v>
      </c>
      <c r="P163" s="1" t="s">
        <v>321</v>
      </c>
    </row>
    <row r="164" spans="13:16" x14ac:dyDescent="0.25">
      <c r="M164" s="1" t="s">
        <v>56</v>
      </c>
      <c r="N164" s="1" t="s">
        <v>656</v>
      </c>
      <c r="O164" s="1" t="s">
        <v>201</v>
      </c>
      <c r="P164" s="1" t="s">
        <v>321</v>
      </c>
    </row>
    <row r="165" spans="13:16" x14ac:dyDescent="0.25">
      <c r="M165" s="1" t="s">
        <v>56</v>
      </c>
      <c r="N165" s="1" t="s">
        <v>656</v>
      </c>
      <c r="O165" s="1" t="s">
        <v>391</v>
      </c>
      <c r="P165" s="1" t="s">
        <v>321</v>
      </c>
    </row>
    <row r="166" spans="13:16" x14ac:dyDescent="0.25">
      <c r="M166" s="1" t="s">
        <v>56</v>
      </c>
      <c r="N166" s="1" t="s">
        <v>656</v>
      </c>
      <c r="O166" s="1" t="s">
        <v>390</v>
      </c>
      <c r="P166" s="1" t="s">
        <v>321</v>
      </c>
    </row>
    <row r="167" spans="13:16" x14ac:dyDescent="0.25">
      <c r="M167" s="1" t="s">
        <v>56</v>
      </c>
      <c r="N167" s="1" t="s">
        <v>657</v>
      </c>
      <c r="O167" s="1" t="s">
        <v>198</v>
      </c>
      <c r="P167" s="1" t="s">
        <v>322</v>
      </c>
    </row>
    <row r="168" spans="13:16" x14ac:dyDescent="0.25">
      <c r="M168" s="1" t="s">
        <v>56</v>
      </c>
      <c r="N168" s="1" t="s">
        <v>657</v>
      </c>
      <c r="O168" s="1" t="s">
        <v>199</v>
      </c>
      <c r="P168" s="1" t="s">
        <v>322</v>
      </c>
    </row>
    <row r="169" spans="13:16" x14ac:dyDescent="0.25">
      <c r="M169" s="1" t="s">
        <v>56</v>
      </c>
      <c r="N169" s="1" t="s">
        <v>657</v>
      </c>
      <c r="O169" s="1" t="s">
        <v>200</v>
      </c>
      <c r="P169" s="1" t="s">
        <v>322</v>
      </c>
    </row>
    <row r="170" spans="13:16" x14ac:dyDescent="0.25">
      <c r="M170" s="1" t="s">
        <v>56</v>
      </c>
      <c r="N170" s="1" t="s">
        <v>657</v>
      </c>
      <c r="O170" s="1" t="s">
        <v>201</v>
      </c>
      <c r="P170" s="1" t="s">
        <v>322</v>
      </c>
    </row>
    <row r="171" spans="13:16" x14ac:dyDescent="0.25">
      <c r="M171" s="1" t="s">
        <v>56</v>
      </c>
      <c r="N171" s="1" t="s">
        <v>657</v>
      </c>
      <c r="O171" s="1" t="s">
        <v>391</v>
      </c>
      <c r="P171" s="1" t="s">
        <v>322</v>
      </c>
    </row>
    <row r="172" spans="13:16" x14ac:dyDescent="0.25">
      <c r="M172" s="1" t="s">
        <v>56</v>
      </c>
      <c r="N172" s="1" t="s">
        <v>657</v>
      </c>
      <c r="O172" s="1" t="s">
        <v>390</v>
      </c>
      <c r="P172" s="1" t="s">
        <v>322</v>
      </c>
    </row>
    <row r="173" spans="13:16" x14ac:dyDescent="0.25">
      <c r="M173" s="1" t="s">
        <v>55</v>
      </c>
      <c r="N173" s="1" t="s">
        <v>658</v>
      </c>
      <c r="O173" s="1" t="s">
        <v>201</v>
      </c>
      <c r="P173" s="1" t="s">
        <v>341</v>
      </c>
    </row>
    <row r="174" spans="13:16" x14ac:dyDescent="0.25">
      <c r="M174" s="1" t="s">
        <v>55</v>
      </c>
      <c r="N174" s="1" t="s">
        <v>658</v>
      </c>
      <c r="O174" s="1" t="s">
        <v>391</v>
      </c>
      <c r="P174" s="1" t="s">
        <v>341</v>
      </c>
    </row>
    <row r="175" spans="13:16" x14ac:dyDescent="0.25">
      <c r="M175" s="1" t="s">
        <v>55</v>
      </c>
      <c r="N175" s="1" t="s">
        <v>658</v>
      </c>
      <c r="O175" s="1" t="s">
        <v>390</v>
      </c>
      <c r="P175" s="1" t="s">
        <v>341</v>
      </c>
    </row>
    <row r="176" spans="13:16" x14ac:dyDescent="0.25">
      <c r="M176" s="1" t="s">
        <v>55</v>
      </c>
      <c r="N176" s="1" t="s">
        <v>659</v>
      </c>
      <c r="O176" s="1" t="s">
        <v>197</v>
      </c>
      <c r="P176" s="1" t="s">
        <v>321</v>
      </c>
    </row>
    <row r="177" spans="13:16" x14ac:dyDescent="0.25">
      <c r="M177" s="1" t="s">
        <v>55</v>
      </c>
      <c r="N177" s="1" t="s">
        <v>659</v>
      </c>
      <c r="O177" s="1" t="s">
        <v>198</v>
      </c>
      <c r="P177" s="1" t="s">
        <v>321</v>
      </c>
    </row>
    <row r="178" spans="13:16" x14ac:dyDescent="0.25">
      <c r="M178" s="1" t="s">
        <v>55</v>
      </c>
      <c r="N178" s="1" t="s">
        <v>659</v>
      </c>
      <c r="O178" s="1" t="s">
        <v>199</v>
      </c>
      <c r="P178" s="1" t="s">
        <v>321</v>
      </c>
    </row>
    <row r="179" spans="13:16" x14ac:dyDescent="0.25">
      <c r="M179" s="1" t="s">
        <v>55</v>
      </c>
      <c r="N179" s="1" t="s">
        <v>659</v>
      </c>
      <c r="O179" s="1" t="s">
        <v>200</v>
      </c>
      <c r="P179" s="1" t="s">
        <v>321</v>
      </c>
    </row>
    <row r="180" spans="13:16" x14ac:dyDescent="0.25">
      <c r="M180" s="1" t="s">
        <v>55</v>
      </c>
      <c r="N180" s="1" t="s">
        <v>659</v>
      </c>
      <c r="O180" s="1" t="s">
        <v>201</v>
      </c>
      <c r="P180" s="1" t="s">
        <v>321</v>
      </c>
    </row>
    <row r="181" spans="13:16" x14ac:dyDescent="0.25">
      <c r="M181" s="1" t="s">
        <v>55</v>
      </c>
      <c r="N181" s="1" t="s">
        <v>659</v>
      </c>
      <c r="O181" s="1" t="s">
        <v>391</v>
      </c>
      <c r="P181" s="1" t="s">
        <v>321</v>
      </c>
    </row>
    <row r="182" spans="13:16" x14ac:dyDescent="0.25">
      <c r="M182" s="1" t="s">
        <v>55</v>
      </c>
      <c r="N182" s="1" t="s">
        <v>659</v>
      </c>
      <c r="O182" s="1" t="s">
        <v>390</v>
      </c>
      <c r="P182" s="1" t="s">
        <v>321</v>
      </c>
    </row>
    <row r="183" spans="13:16" x14ac:dyDescent="0.25">
      <c r="M183" s="1" t="s">
        <v>55</v>
      </c>
      <c r="N183" s="1" t="s">
        <v>660</v>
      </c>
      <c r="O183" s="1" t="s">
        <v>198</v>
      </c>
      <c r="P183" s="1" t="s">
        <v>322</v>
      </c>
    </row>
    <row r="184" spans="13:16" x14ac:dyDescent="0.25">
      <c r="M184" s="1" t="s">
        <v>55</v>
      </c>
      <c r="N184" s="1" t="s">
        <v>660</v>
      </c>
      <c r="O184" s="1" t="s">
        <v>199</v>
      </c>
      <c r="P184" s="1" t="s">
        <v>322</v>
      </c>
    </row>
    <row r="185" spans="13:16" x14ac:dyDescent="0.25">
      <c r="M185" s="1" t="s">
        <v>55</v>
      </c>
      <c r="N185" s="1" t="s">
        <v>660</v>
      </c>
      <c r="O185" s="1" t="s">
        <v>200</v>
      </c>
      <c r="P185" s="1" t="s">
        <v>322</v>
      </c>
    </row>
    <row r="186" spans="13:16" x14ac:dyDescent="0.25">
      <c r="M186" s="1" t="s">
        <v>55</v>
      </c>
      <c r="N186" s="1" t="s">
        <v>660</v>
      </c>
      <c r="O186" s="1" t="s">
        <v>201</v>
      </c>
      <c r="P186" s="1" t="s">
        <v>322</v>
      </c>
    </row>
    <row r="187" spans="13:16" x14ac:dyDescent="0.25">
      <c r="M187" s="1" t="s">
        <v>55</v>
      </c>
      <c r="N187" s="1" t="s">
        <v>660</v>
      </c>
      <c r="O187" s="1" t="s">
        <v>391</v>
      </c>
      <c r="P187" s="1" t="s">
        <v>322</v>
      </c>
    </row>
    <row r="188" spans="13:16" x14ac:dyDescent="0.25">
      <c r="M188" s="1" t="s">
        <v>55</v>
      </c>
      <c r="N188" s="1" t="s">
        <v>660</v>
      </c>
      <c r="O188" s="1" t="s">
        <v>390</v>
      </c>
      <c r="P188" s="1" t="s">
        <v>322</v>
      </c>
    </row>
    <row r="189" spans="13:16" x14ac:dyDescent="0.25">
      <c r="M189" s="1" t="s">
        <v>56</v>
      </c>
      <c r="N189" s="1" t="s">
        <v>376</v>
      </c>
      <c r="O189" s="1" t="s">
        <v>201</v>
      </c>
      <c r="P189" s="1" t="s">
        <v>341</v>
      </c>
    </row>
    <row r="190" spans="13:16" x14ac:dyDescent="0.25">
      <c r="M190" s="1" t="s">
        <v>56</v>
      </c>
      <c r="N190" s="1" t="s">
        <v>376</v>
      </c>
      <c r="O190" s="1" t="s">
        <v>391</v>
      </c>
      <c r="P190" s="1" t="s">
        <v>341</v>
      </c>
    </row>
    <row r="191" spans="13:16" x14ac:dyDescent="0.25">
      <c r="M191" s="1" t="s">
        <v>56</v>
      </c>
      <c r="N191" s="1" t="s">
        <v>376</v>
      </c>
      <c r="O191" s="1" t="s">
        <v>390</v>
      </c>
      <c r="P191" s="1" t="s">
        <v>341</v>
      </c>
    </row>
    <row r="192" spans="13:16" x14ac:dyDescent="0.25">
      <c r="M192" s="1" t="s">
        <v>56</v>
      </c>
      <c r="N192" s="1" t="s">
        <v>324</v>
      </c>
      <c r="O192" s="1" t="s">
        <v>197</v>
      </c>
      <c r="P192" s="1" t="s">
        <v>321</v>
      </c>
    </row>
    <row r="193" spans="13:16" x14ac:dyDescent="0.25">
      <c r="M193" s="1" t="s">
        <v>56</v>
      </c>
      <c r="N193" s="1" t="s">
        <v>324</v>
      </c>
      <c r="O193" s="1" t="s">
        <v>198</v>
      </c>
      <c r="P193" s="1" t="s">
        <v>321</v>
      </c>
    </row>
    <row r="194" spans="13:16" x14ac:dyDescent="0.25">
      <c r="M194" s="1" t="s">
        <v>56</v>
      </c>
      <c r="N194" s="1" t="s">
        <v>324</v>
      </c>
      <c r="O194" s="1" t="s">
        <v>199</v>
      </c>
      <c r="P194" s="1" t="s">
        <v>321</v>
      </c>
    </row>
    <row r="195" spans="13:16" x14ac:dyDescent="0.25">
      <c r="M195" s="1" t="s">
        <v>56</v>
      </c>
      <c r="N195" s="1" t="s">
        <v>324</v>
      </c>
      <c r="O195" s="1" t="s">
        <v>200</v>
      </c>
      <c r="P195" s="1" t="s">
        <v>321</v>
      </c>
    </row>
    <row r="196" spans="13:16" x14ac:dyDescent="0.25">
      <c r="M196" s="1" t="s">
        <v>56</v>
      </c>
      <c r="N196" s="1" t="s">
        <v>324</v>
      </c>
      <c r="O196" s="1" t="s">
        <v>201</v>
      </c>
      <c r="P196" s="1" t="s">
        <v>321</v>
      </c>
    </row>
    <row r="197" spans="13:16" x14ac:dyDescent="0.25">
      <c r="M197" s="1" t="s">
        <v>56</v>
      </c>
      <c r="N197" s="1" t="s">
        <v>324</v>
      </c>
      <c r="O197" s="1" t="s">
        <v>391</v>
      </c>
      <c r="P197" s="1" t="s">
        <v>321</v>
      </c>
    </row>
    <row r="198" spans="13:16" x14ac:dyDescent="0.25">
      <c r="M198" s="1" t="s">
        <v>56</v>
      </c>
      <c r="N198" s="1" t="s">
        <v>324</v>
      </c>
      <c r="O198" s="1" t="s">
        <v>390</v>
      </c>
      <c r="P198" s="1" t="s">
        <v>321</v>
      </c>
    </row>
    <row r="199" spans="13:16" x14ac:dyDescent="0.25">
      <c r="M199" s="1" t="s">
        <v>56</v>
      </c>
      <c r="N199" s="1" t="s">
        <v>333</v>
      </c>
      <c r="O199" s="1" t="s">
        <v>198</v>
      </c>
      <c r="P199" s="1" t="s">
        <v>322</v>
      </c>
    </row>
    <row r="200" spans="13:16" x14ac:dyDescent="0.25">
      <c r="M200" s="1" t="s">
        <v>56</v>
      </c>
      <c r="N200" s="1" t="s">
        <v>333</v>
      </c>
      <c r="O200" s="1" t="s">
        <v>199</v>
      </c>
      <c r="P200" s="1" t="s">
        <v>322</v>
      </c>
    </row>
    <row r="201" spans="13:16" x14ac:dyDescent="0.25">
      <c r="M201" s="1" t="s">
        <v>56</v>
      </c>
      <c r="N201" s="1" t="s">
        <v>333</v>
      </c>
      <c r="O201" s="1" t="s">
        <v>200</v>
      </c>
      <c r="P201" s="1" t="s">
        <v>322</v>
      </c>
    </row>
    <row r="202" spans="13:16" x14ac:dyDescent="0.25">
      <c r="M202" s="1" t="s">
        <v>56</v>
      </c>
      <c r="N202" s="1" t="s">
        <v>333</v>
      </c>
      <c r="O202" s="1" t="s">
        <v>201</v>
      </c>
      <c r="P202" s="1" t="s">
        <v>322</v>
      </c>
    </row>
    <row r="203" spans="13:16" x14ac:dyDescent="0.25">
      <c r="M203" s="1" t="s">
        <v>56</v>
      </c>
      <c r="N203" s="1" t="s">
        <v>333</v>
      </c>
      <c r="O203" s="1" t="s">
        <v>391</v>
      </c>
      <c r="P203" s="1" t="s">
        <v>322</v>
      </c>
    </row>
    <row r="204" spans="13:16" x14ac:dyDescent="0.25">
      <c r="M204" s="1" t="s">
        <v>56</v>
      </c>
      <c r="N204" s="1" t="s">
        <v>333</v>
      </c>
      <c r="O204" s="1" t="s">
        <v>390</v>
      </c>
      <c r="P204" s="1" t="s">
        <v>322</v>
      </c>
    </row>
    <row r="205" spans="13:16" x14ac:dyDescent="0.25">
      <c r="M205" s="1" t="s">
        <v>55</v>
      </c>
      <c r="N205" s="1" t="s">
        <v>377</v>
      </c>
      <c r="O205" s="1" t="s">
        <v>201</v>
      </c>
      <c r="P205" s="1" t="s">
        <v>341</v>
      </c>
    </row>
    <row r="206" spans="13:16" x14ac:dyDescent="0.25">
      <c r="M206" s="1" t="s">
        <v>55</v>
      </c>
      <c r="N206" s="1" t="s">
        <v>377</v>
      </c>
      <c r="O206" s="1" t="s">
        <v>391</v>
      </c>
      <c r="P206" s="1" t="s">
        <v>341</v>
      </c>
    </row>
    <row r="207" spans="13:16" x14ac:dyDescent="0.25">
      <c r="M207" s="1" t="s">
        <v>55</v>
      </c>
      <c r="N207" s="1" t="s">
        <v>377</v>
      </c>
      <c r="O207" s="1" t="s">
        <v>390</v>
      </c>
      <c r="P207" s="1" t="s">
        <v>341</v>
      </c>
    </row>
    <row r="208" spans="13:16" x14ac:dyDescent="0.25">
      <c r="M208" s="1" t="s">
        <v>55</v>
      </c>
      <c r="N208" s="1" t="s">
        <v>323</v>
      </c>
      <c r="O208" s="1" t="s">
        <v>197</v>
      </c>
      <c r="P208" s="1" t="s">
        <v>321</v>
      </c>
    </row>
    <row r="209" spans="13:16" x14ac:dyDescent="0.25">
      <c r="M209" s="1" t="s">
        <v>55</v>
      </c>
      <c r="N209" s="1" t="s">
        <v>323</v>
      </c>
      <c r="O209" s="1" t="s">
        <v>198</v>
      </c>
      <c r="P209" s="1" t="s">
        <v>321</v>
      </c>
    </row>
    <row r="210" spans="13:16" x14ac:dyDescent="0.25">
      <c r="M210" s="1" t="s">
        <v>55</v>
      </c>
      <c r="N210" s="1" t="s">
        <v>323</v>
      </c>
      <c r="O210" s="1" t="s">
        <v>199</v>
      </c>
      <c r="P210" s="1" t="s">
        <v>321</v>
      </c>
    </row>
    <row r="211" spans="13:16" x14ac:dyDescent="0.25">
      <c r="M211" s="1" t="s">
        <v>55</v>
      </c>
      <c r="N211" s="1" t="s">
        <v>323</v>
      </c>
      <c r="O211" s="1" t="s">
        <v>200</v>
      </c>
      <c r="P211" s="1" t="s">
        <v>321</v>
      </c>
    </row>
    <row r="212" spans="13:16" x14ac:dyDescent="0.25">
      <c r="M212" s="1" t="s">
        <v>55</v>
      </c>
      <c r="N212" s="1" t="s">
        <v>323</v>
      </c>
      <c r="O212" s="1" t="s">
        <v>201</v>
      </c>
      <c r="P212" s="1" t="s">
        <v>321</v>
      </c>
    </row>
    <row r="213" spans="13:16" x14ac:dyDescent="0.25">
      <c r="M213" s="1" t="s">
        <v>55</v>
      </c>
      <c r="N213" s="1" t="s">
        <v>323</v>
      </c>
      <c r="O213" s="1" t="s">
        <v>391</v>
      </c>
      <c r="P213" s="1" t="s">
        <v>321</v>
      </c>
    </row>
    <row r="214" spans="13:16" x14ac:dyDescent="0.25">
      <c r="M214" s="1" t="s">
        <v>55</v>
      </c>
      <c r="N214" s="1" t="s">
        <v>323</v>
      </c>
      <c r="O214" s="1" t="s">
        <v>390</v>
      </c>
      <c r="P214" s="1" t="s">
        <v>321</v>
      </c>
    </row>
    <row r="215" spans="13:16" x14ac:dyDescent="0.25">
      <c r="M215" s="1" t="s">
        <v>55</v>
      </c>
      <c r="N215" s="1" t="s">
        <v>332</v>
      </c>
      <c r="O215" s="1" t="s">
        <v>198</v>
      </c>
      <c r="P215" s="1" t="s">
        <v>322</v>
      </c>
    </row>
    <row r="216" spans="13:16" x14ac:dyDescent="0.25">
      <c r="M216" s="1" t="s">
        <v>55</v>
      </c>
      <c r="N216" s="1" t="s">
        <v>332</v>
      </c>
      <c r="O216" s="1" t="s">
        <v>199</v>
      </c>
      <c r="P216" s="1" t="s">
        <v>322</v>
      </c>
    </row>
    <row r="217" spans="13:16" x14ac:dyDescent="0.25">
      <c r="M217" s="1" t="s">
        <v>55</v>
      </c>
      <c r="N217" s="1" t="s">
        <v>332</v>
      </c>
      <c r="O217" s="1" t="s">
        <v>200</v>
      </c>
      <c r="P217" s="1" t="s">
        <v>322</v>
      </c>
    </row>
    <row r="218" spans="13:16" x14ac:dyDescent="0.25">
      <c r="M218" s="1" t="s">
        <v>55</v>
      </c>
      <c r="N218" s="1" t="s">
        <v>332</v>
      </c>
      <c r="O218" s="1" t="s">
        <v>201</v>
      </c>
      <c r="P218" s="1" t="s">
        <v>322</v>
      </c>
    </row>
    <row r="219" spans="13:16" x14ac:dyDescent="0.25">
      <c r="M219" s="1" t="s">
        <v>55</v>
      </c>
      <c r="N219" s="1" t="s">
        <v>332</v>
      </c>
      <c r="O219" s="1" t="s">
        <v>391</v>
      </c>
      <c r="P219" s="1" t="s">
        <v>322</v>
      </c>
    </row>
    <row r="220" spans="13:16" x14ac:dyDescent="0.25">
      <c r="M220" s="1" t="s">
        <v>55</v>
      </c>
      <c r="N220" s="1" t="s">
        <v>332</v>
      </c>
      <c r="O220" s="1" t="s">
        <v>390</v>
      </c>
      <c r="P220" s="1" t="s">
        <v>322</v>
      </c>
    </row>
    <row r="221" spans="13:16" x14ac:dyDescent="0.25">
      <c r="M221" s="1" t="s">
        <v>56</v>
      </c>
      <c r="N221" s="1" t="s">
        <v>512</v>
      </c>
      <c r="O221" s="1" t="s">
        <v>201</v>
      </c>
      <c r="P221" s="1" t="s">
        <v>341</v>
      </c>
    </row>
    <row r="222" spans="13:16" x14ac:dyDescent="0.25">
      <c r="M222" s="1" t="s">
        <v>56</v>
      </c>
      <c r="N222" s="1" t="s">
        <v>512</v>
      </c>
      <c r="O222" s="1" t="s">
        <v>391</v>
      </c>
      <c r="P222" s="1" t="s">
        <v>341</v>
      </c>
    </row>
    <row r="223" spans="13:16" x14ac:dyDescent="0.25">
      <c r="M223" s="1" t="s">
        <v>56</v>
      </c>
      <c r="N223" s="1" t="s">
        <v>512</v>
      </c>
      <c r="O223" s="1" t="s">
        <v>390</v>
      </c>
      <c r="P223" s="1" t="s">
        <v>341</v>
      </c>
    </row>
    <row r="224" spans="13:16" x14ac:dyDescent="0.25">
      <c r="M224" s="1" t="s">
        <v>56</v>
      </c>
      <c r="N224" s="1" t="s">
        <v>502</v>
      </c>
      <c r="O224" s="1" t="s">
        <v>197</v>
      </c>
      <c r="P224" s="1" t="s">
        <v>321</v>
      </c>
    </row>
    <row r="225" spans="13:16" x14ac:dyDescent="0.25">
      <c r="M225" s="1" t="s">
        <v>56</v>
      </c>
      <c r="N225" s="1" t="s">
        <v>502</v>
      </c>
      <c r="O225" s="1" t="s">
        <v>198</v>
      </c>
      <c r="P225" s="1" t="s">
        <v>321</v>
      </c>
    </row>
    <row r="226" spans="13:16" x14ac:dyDescent="0.25">
      <c r="M226" s="1" t="s">
        <v>56</v>
      </c>
      <c r="N226" s="1" t="s">
        <v>502</v>
      </c>
      <c r="O226" s="1" t="s">
        <v>199</v>
      </c>
      <c r="P226" s="1" t="s">
        <v>321</v>
      </c>
    </row>
    <row r="227" spans="13:16" x14ac:dyDescent="0.25">
      <c r="M227" s="1" t="s">
        <v>56</v>
      </c>
      <c r="N227" s="1" t="s">
        <v>502</v>
      </c>
      <c r="O227" s="1" t="s">
        <v>200</v>
      </c>
      <c r="P227" s="1" t="s">
        <v>321</v>
      </c>
    </row>
    <row r="228" spans="13:16" x14ac:dyDescent="0.25">
      <c r="M228" s="1" t="s">
        <v>56</v>
      </c>
      <c r="N228" s="1" t="s">
        <v>502</v>
      </c>
      <c r="O228" s="1" t="s">
        <v>201</v>
      </c>
      <c r="P228" s="1" t="s">
        <v>321</v>
      </c>
    </row>
    <row r="229" spans="13:16" x14ac:dyDescent="0.25">
      <c r="M229" s="1" t="s">
        <v>56</v>
      </c>
      <c r="N229" s="1" t="s">
        <v>502</v>
      </c>
      <c r="O229" s="1" t="s">
        <v>391</v>
      </c>
      <c r="P229" s="1" t="s">
        <v>321</v>
      </c>
    </row>
    <row r="230" spans="13:16" x14ac:dyDescent="0.25">
      <c r="M230" s="1" t="s">
        <v>56</v>
      </c>
      <c r="N230" s="1" t="s">
        <v>502</v>
      </c>
      <c r="O230" s="1" t="s">
        <v>390</v>
      </c>
      <c r="P230" s="1" t="s">
        <v>321</v>
      </c>
    </row>
    <row r="231" spans="13:16" x14ac:dyDescent="0.25">
      <c r="M231" s="1" t="s">
        <v>56</v>
      </c>
      <c r="N231" s="1" t="s">
        <v>506</v>
      </c>
      <c r="O231" s="1" t="s">
        <v>198</v>
      </c>
      <c r="P231" s="1" t="s">
        <v>322</v>
      </c>
    </row>
    <row r="232" spans="13:16" x14ac:dyDescent="0.25">
      <c r="M232" s="1" t="s">
        <v>56</v>
      </c>
      <c r="N232" s="1" t="s">
        <v>506</v>
      </c>
      <c r="O232" s="1" t="s">
        <v>199</v>
      </c>
      <c r="P232" s="1" t="s">
        <v>322</v>
      </c>
    </row>
    <row r="233" spans="13:16" x14ac:dyDescent="0.25">
      <c r="M233" s="1" t="s">
        <v>56</v>
      </c>
      <c r="N233" s="1" t="s">
        <v>506</v>
      </c>
      <c r="O233" s="1" t="s">
        <v>200</v>
      </c>
      <c r="P233" s="1" t="s">
        <v>322</v>
      </c>
    </row>
    <row r="234" spans="13:16" x14ac:dyDescent="0.25">
      <c r="M234" s="1" t="s">
        <v>56</v>
      </c>
      <c r="N234" s="1" t="s">
        <v>506</v>
      </c>
      <c r="O234" s="1" t="s">
        <v>201</v>
      </c>
      <c r="P234" s="1" t="s">
        <v>322</v>
      </c>
    </row>
    <row r="235" spans="13:16" x14ac:dyDescent="0.25">
      <c r="M235" s="1" t="s">
        <v>56</v>
      </c>
      <c r="N235" s="1" t="s">
        <v>506</v>
      </c>
      <c r="O235" s="1" t="s">
        <v>391</v>
      </c>
      <c r="P235" s="1" t="s">
        <v>322</v>
      </c>
    </row>
    <row r="236" spans="13:16" x14ac:dyDescent="0.25">
      <c r="M236" s="1" t="s">
        <v>56</v>
      </c>
      <c r="N236" s="1" t="s">
        <v>506</v>
      </c>
      <c r="O236" s="1" t="s">
        <v>390</v>
      </c>
      <c r="P236" s="1" t="s">
        <v>322</v>
      </c>
    </row>
    <row r="237" spans="13:16" x14ac:dyDescent="0.25">
      <c r="M237" s="1" t="s">
        <v>56</v>
      </c>
      <c r="N237" s="1" t="s">
        <v>515</v>
      </c>
      <c r="O237" s="1" t="s">
        <v>201</v>
      </c>
      <c r="P237" s="1" t="s">
        <v>341</v>
      </c>
    </row>
    <row r="238" spans="13:16" x14ac:dyDescent="0.25">
      <c r="M238" s="1" t="s">
        <v>56</v>
      </c>
      <c r="N238" s="1" t="s">
        <v>515</v>
      </c>
      <c r="O238" s="1" t="s">
        <v>391</v>
      </c>
      <c r="P238" s="1" t="s">
        <v>341</v>
      </c>
    </row>
    <row r="239" spans="13:16" x14ac:dyDescent="0.25">
      <c r="M239" s="1" t="s">
        <v>56</v>
      </c>
      <c r="N239" s="1" t="s">
        <v>515</v>
      </c>
      <c r="O239" s="1" t="s">
        <v>390</v>
      </c>
      <c r="P239" s="1" t="s">
        <v>341</v>
      </c>
    </row>
    <row r="240" spans="13:16" x14ac:dyDescent="0.25">
      <c r="M240" s="1" t="s">
        <v>56</v>
      </c>
      <c r="N240" s="1" t="s">
        <v>510</v>
      </c>
      <c r="O240" s="1" t="s">
        <v>201</v>
      </c>
      <c r="P240" s="1" t="s">
        <v>341</v>
      </c>
    </row>
    <row r="241" spans="13:16" x14ac:dyDescent="0.25">
      <c r="M241" s="1" t="s">
        <v>56</v>
      </c>
      <c r="N241" s="1" t="s">
        <v>510</v>
      </c>
      <c r="O241" s="1" t="s">
        <v>391</v>
      </c>
      <c r="P241" s="1" t="s">
        <v>341</v>
      </c>
    </row>
    <row r="242" spans="13:16" x14ac:dyDescent="0.25">
      <c r="M242" s="1" t="s">
        <v>56</v>
      </c>
      <c r="N242" s="1" t="s">
        <v>510</v>
      </c>
      <c r="O242" s="1" t="s">
        <v>390</v>
      </c>
      <c r="P242" s="1" t="s">
        <v>341</v>
      </c>
    </row>
    <row r="243" spans="13:16" x14ac:dyDescent="0.25">
      <c r="M243" s="1" t="s">
        <v>56</v>
      </c>
      <c r="N243" s="1" t="s">
        <v>500</v>
      </c>
      <c r="O243" s="1" t="s">
        <v>197</v>
      </c>
      <c r="P243" s="1" t="s">
        <v>321</v>
      </c>
    </row>
    <row r="244" spans="13:16" x14ac:dyDescent="0.25">
      <c r="M244" s="1" t="s">
        <v>56</v>
      </c>
      <c r="N244" s="1" t="s">
        <v>500</v>
      </c>
      <c r="O244" s="1" t="s">
        <v>198</v>
      </c>
      <c r="P244" s="1" t="s">
        <v>321</v>
      </c>
    </row>
    <row r="245" spans="13:16" x14ac:dyDescent="0.25">
      <c r="M245" s="1" t="s">
        <v>56</v>
      </c>
      <c r="N245" s="1" t="s">
        <v>500</v>
      </c>
      <c r="O245" s="1" t="s">
        <v>199</v>
      </c>
      <c r="P245" s="1" t="s">
        <v>321</v>
      </c>
    </row>
    <row r="246" spans="13:16" x14ac:dyDescent="0.25">
      <c r="M246" s="1" t="s">
        <v>56</v>
      </c>
      <c r="N246" s="1" t="s">
        <v>500</v>
      </c>
      <c r="O246" s="1" t="s">
        <v>200</v>
      </c>
      <c r="P246" s="1" t="s">
        <v>321</v>
      </c>
    </row>
    <row r="247" spans="13:16" x14ac:dyDescent="0.25">
      <c r="M247" s="1" t="s">
        <v>56</v>
      </c>
      <c r="N247" s="1" t="s">
        <v>500</v>
      </c>
      <c r="O247" s="1" t="s">
        <v>201</v>
      </c>
      <c r="P247" s="1" t="s">
        <v>321</v>
      </c>
    </row>
    <row r="248" spans="13:16" x14ac:dyDescent="0.25">
      <c r="M248" s="1" t="s">
        <v>56</v>
      </c>
      <c r="N248" s="1" t="s">
        <v>500</v>
      </c>
      <c r="O248" s="1" t="s">
        <v>391</v>
      </c>
      <c r="P248" s="1" t="s">
        <v>321</v>
      </c>
    </row>
    <row r="249" spans="13:16" x14ac:dyDescent="0.25">
      <c r="M249" s="1" t="s">
        <v>56</v>
      </c>
      <c r="N249" s="1" t="s">
        <v>500</v>
      </c>
      <c r="O249" s="1" t="s">
        <v>390</v>
      </c>
      <c r="P249" s="1" t="s">
        <v>321</v>
      </c>
    </row>
    <row r="250" spans="13:16" x14ac:dyDescent="0.25">
      <c r="M250" s="1" t="s">
        <v>56</v>
      </c>
      <c r="N250" s="1" t="s">
        <v>504</v>
      </c>
      <c r="O250" s="1" t="s">
        <v>198</v>
      </c>
      <c r="P250" s="1" t="s">
        <v>322</v>
      </c>
    </row>
    <row r="251" spans="13:16" x14ac:dyDescent="0.25">
      <c r="M251" s="1" t="s">
        <v>56</v>
      </c>
      <c r="N251" s="1" t="s">
        <v>504</v>
      </c>
      <c r="O251" s="1" t="s">
        <v>199</v>
      </c>
      <c r="P251" s="1" t="s">
        <v>322</v>
      </c>
    </row>
    <row r="252" spans="13:16" x14ac:dyDescent="0.25">
      <c r="M252" s="1" t="s">
        <v>56</v>
      </c>
      <c r="N252" s="1" t="s">
        <v>504</v>
      </c>
      <c r="O252" s="1" t="s">
        <v>200</v>
      </c>
      <c r="P252" s="1" t="s">
        <v>322</v>
      </c>
    </row>
    <row r="253" spans="13:16" x14ac:dyDescent="0.25">
      <c r="M253" s="1" t="s">
        <v>56</v>
      </c>
      <c r="N253" s="1" t="s">
        <v>504</v>
      </c>
      <c r="O253" s="1" t="s">
        <v>201</v>
      </c>
      <c r="P253" s="1" t="s">
        <v>322</v>
      </c>
    </row>
    <row r="254" spans="13:16" x14ac:dyDescent="0.25">
      <c r="M254" s="1" t="s">
        <v>56</v>
      </c>
      <c r="N254" s="1" t="s">
        <v>504</v>
      </c>
      <c r="O254" s="1" t="s">
        <v>391</v>
      </c>
      <c r="P254" s="1" t="s">
        <v>322</v>
      </c>
    </row>
    <row r="255" spans="13:16" x14ac:dyDescent="0.25">
      <c r="M255" s="1" t="s">
        <v>56</v>
      </c>
      <c r="N255" s="1" t="s">
        <v>504</v>
      </c>
      <c r="O255" s="1" t="s">
        <v>390</v>
      </c>
      <c r="P255" s="1" t="s">
        <v>322</v>
      </c>
    </row>
    <row r="256" spans="13:16" x14ac:dyDescent="0.25">
      <c r="M256" s="1" t="s">
        <v>56</v>
      </c>
      <c r="N256" s="1" t="s">
        <v>516</v>
      </c>
      <c r="O256" s="1" t="s">
        <v>201</v>
      </c>
      <c r="P256" s="1" t="s">
        <v>341</v>
      </c>
    </row>
    <row r="257" spans="13:16" x14ac:dyDescent="0.25">
      <c r="M257" s="1" t="s">
        <v>56</v>
      </c>
      <c r="N257" s="1" t="s">
        <v>516</v>
      </c>
      <c r="O257" s="1" t="s">
        <v>391</v>
      </c>
      <c r="P257" s="1" t="s">
        <v>341</v>
      </c>
    </row>
    <row r="258" spans="13:16" x14ac:dyDescent="0.25">
      <c r="M258" s="1" t="s">
        <v>56</v>
      </c>
      <c r="N258" s="1" t="s">
        <v>516</v>
      </c>
      <c r="O258" s="1" t="s">
        <v>390</v>
      </c>
      <c r="P258" s="1" t="s">
        <v>341</v>
      </c>
    </row>
    <row r="259" spans="13:16" x14ac:dyDescent="0.25">
      <c r="M259" s="1" t="s">
        <v>56</v>
      </c>
      <c r="N259" s="1" t="s">
        <v>513</v>
      </c>
      <c r="O259" s="1" t="s">
        <v>201</v>
      </c>
      <c r="P259" s="1" t="s">
        <v>341</v>
      </c>
    </row>
    <row r="260" spans="13:16" x14ac:dyDescent="0.25">
      <c r="M260" s="1" t="s">
        <v>56</v>
      </c>
      <c r="N260" s="1" t="s">
        <v>513</v>
      </c>
      <c r="O260" s="1" t="s">
        <v>391</v>
      </c>
      <c r="P260" s="1" t="s">
        <v>341</v>
      </c>
    </row>
    <row r="261" spans="13:16" x14ac:dyDescent="0.25">
      <c r="M261" s="1" t="s">
        <v>56</v>
      </c>
      <c r="N261" s="1" t="s">
        <v>513</v>
      </c>
      <c r="O261" s="1" t="s">
        <v>390</v>
      </c>
      <c r="P261" s="1" t="s">
        <v>341</v>
      </c>
    </row>
    <row r="262" spans="13:16" x14ac:dyDescent="0.25">
      <c r="M262" s="1" t="s">
        <v>56</v>
      </c>
      <c r="N262" s="1" t="s">
        <v>661</v>
      </c>
      <c r="O262" s="1" t="s">
        <v>201</v>
      </c>
      <c r="P262" s="1" t="s">
        <v>341</v>
      </c>
    </row>
    <row r="263" spans="13:16" x14ac:dyDescent="0.25">
      <c r="M263" s="1" t="s">
        <v>56</v>
      </c>
      <c r="N263" s="1" t="s">
        <v>661</v>
      </c>
      <c r="O263" s="1" t="s">
        <v>391</v>
      </c>
      <c r="P263" s="1" t="s">
        <v>341</v>
      </c>
    </row>
    <row r="264" spans="13:16" x14ac:dyDescent="0.25">
      <c r="M264" s="1" t="s">
        <v>56</v>
      </c>
      <c r="N264" s="1" t="s">
        <v>661</v>
      </c>
      <c r="O264" s="1" t="s">
        <v>390</v>
      </c>
      <c r="P264" s="1" t="s">
        <v>341</v>
      </c>
    </row>
    <row r="265" spans="13:16" x14ac:dyDescent="0.25">
      <c r="M265" s="1" t="s">
        <v>56</v>
      </c>
      <c r="N265" s="1" t="s">
        <v>662</v>
      </c>
      <c r="O265" s="1" t="s">
        <v>197</v>
      </c>
      <c r="P265" s="1" t="s">
        <v>321</v>
      </c>
    </row>
    <row r="266" spans="13:16" x14ac:dyDescent="0.25">
      <c r="M266" s="1" t="s">
        <v>56</v>
      </c>
      <c r="N266" s="1" t="s">
        <v>662</v>
      </c>
      <c r="O266" s="1" t="s">
        <v>198</v>
      </c>
      <c r="P266" s="1" t="s">
        <v>321</v>
      </c>
    </row>
    <row r="267" spans="13:16" x14ac:dyDescent="0.25">
      <c r="M267" s="1" t="s">
        <v>56</v>
      </c>
      <c r="N267" s="1" t="s">
        <v>662</v>
      </c>
      <c r="O267" s="1" t="s">
        <v>199</v>
      </c>
      <c r="P267" s="1" t="s">
        <v>321</v>
      </c>
    </row>
    <row r="268" spans="13:16" x14ac:dyDescent="0.25">
      <c r="M268" s="1" t="s">
        <v>56</v>
      </c>
      <c r="N268" s="1" t="s">
        <v>662</v>
      </c>
      <c r="O268" s="1" t="s">
        <v>200</v>
      </c>
      <c r="P268" s="1" t="s">
        <v>321</v>
      </c>
    </row>
    <row r="269" spans="13:16" x14ac:dyDescent="0.25">
      <c r="M269" s="1" t="s">
        <v>56</v>
      </c>
      <c r="N269" s="1" t="s">
        <v>662</v>
      </c>
      <c r="O269" s="1" t="s">
        <v>201</v>
      </c>
      <c r="P269" s="1" t="s">
        <v>321</v>
      </c>
    </row>
    <row r="270" spans="13:16" x14ac:dyDescent="0.25">
      <c r="M270" s="1" t="s">
        <v>56</v>
      </c>
      <c r="N270" s="1" t="s">
        <v>662</v>
      </c>
      <c r="O270" s="1" t="s">
        <v>391</v>
      </c>
      <c r="P270" s="1" t="s">
        <v>321</v>
      </c>
    </row>
    <row r="271" spans="13:16" x14ac:dyDescent="0.25">
      <c r="M271" s="1" t="s">
        <v>56</v>
      </c>
      <c r="N271" s="1" t="s">
        <v>662</v>
      </c>
      <c r="O271" s="1" t="s">
        <v>390</v>
      </c>
      <c r="P271" s="1" t="s">
        <v>321</v>
      </c>
    </row>
    <row r="272" spans="13:16" x14ac:dyDescent="0.25">
      <c r="M272" s="1" t="s">
        <v>56</v>
      </c>
      <c r="N272" s="1" t="s">
        <v>663</v>
      </c>
      <c r="O272" s="1" t="s">
        <v>198</v>
      </c>
      <c r="P272" s="1" t="s">
        <v>322</v>
      </c>
    </row>
    <row r="273" spans="13:16" x14ac:dyDescent="0.25">
      <c r="M273" s="1" t="s">
        <v>56</v>
      </c>
      <c r="N273" s="1" t="s">
        <v>663</v>
      </c>
      <c r="O273" s="1" t="s">
        <v>199</v>
      </c>
      <c r="P273" s="1" t="s">
        <v>322</v>
      </c>
    </row>
    <row r="274" spans="13:16" x14ac:dyDescent="0.25">
      <c r="M274" s="1" t="s">
        <v>56</v>
      </c>
      <c r="N274" s="1" t="s">
        <v>663</v>
      </c>
      <c r="O274" s="1" t="s">
        <v>200</v>
      </c>
      <c r="P274" s="1" t="s">
        <v>322</v>
      </c>
    </row>
    <row r="275" spans="13:16" x14ac:dyDescent="0.25">
      <c r="M275" s="1" t="s">
        <v>56</v>
      </c>
      <c r="N275" s="1" t="s">
        <v>663</v>
      </c>
      <c r="O275" s="1" t="s">
        <v>201</v>
      </c>
      <c r="P275" s="1" t="s">
        <v>322</v>
      </c>
    </row>
    <row r="276" spans="13:16" x14ac:dyDescent="0.25">
      <c r="M276" s="1" t="s">
        <v>56</v>
      </c>
      <c r="N276" s="1" t="s">
        <v>663</v>
      </c>
      <c r="O276" s="1" t="s">
        <v>391</v>
      </c>
      <c r="P276" s="1" t="s">
        <v>322</v>
      </c>
    </row>
    <row r="277" spans="13:16" x14ac:dyDescent="0.25">
      <c r="M277" s="1" t="s">
        <v>56</v>
      </c>
      <c r="N277" s="1" t="s">
        <v>663</v>
      </c>
      <c r="O277" s="1" t="s">
        <v>390</v>
      </c>
      <c r="P277" s="1" t="s">
        <v>322</v>
      </c>
    </row>
    <row r="278" spans="13:16" x14ac:dyDescent="0.25">
      <c r="M278" s="1" t="s">
        <v>56</v>
      </c>
      <c r="N278" s="1" t="s">
        <v>514</v>
      </c>
      <c r="O278" s="1" t="s">
        <v>201</v>
      </c>
      <c r="P278" s="1" t="s">
        <v>341</v>
      </c>
    </row>
    <row r="279" spans="13:16" x14ac:dyDescent="0.25">
      <c r="M279" s="1" t="s">
        <v>56</v>
      </c>
      <c r="N279" s="1" t="s">
        <v>514</v>
      </c>
      <c r="O279" s="1" t="s">
        <v>391</v>
      </c>
      <c r="P279" s="1" t="s">
        <v>341</v>
      </c>
    </row>
    <row r="280" spans="13:16" x14ac:dyDescent="0.25">
      <c r="M280" s="1" t="s">
        <v>56</v>
      </c>
      <c r="N280" s="1" t="s">
        <v>514</v>
      </c>
      <c r="O280" s="1" t="s">
        <v>390</v>
      </c>
      <c r="P280" s="1" t="s">
        <v>341</v>
      </c>
    </row>
    <row r="281" spans="13:16" x14ac:dyDescent="0.25">
      <c r="M281" s="1" t="s">
        <v>56</v>
      </c>
      <c r="N281" s="1" t="s">
        <v>105</v>
      </c>
      <c r="O281" s="1" t="s">
        <v>201</v>
      </c>
      <c r="P281" s="1" t="s">
        <v>341</v>
      </c>
    </row>
    <row r="282" spans="13:16" x14ac:dyDescent="0.25">
      <c r="M282" s="1" t="s">
        <v>56</v>
      </c>
      <c r="N282" s="1" t="s">
        <v>105</v>
      </c>
      <c r="O282" s="1" t="s">
        <v>391</v>
      </c>
      <c r="P282" s="1" t="s">
        <v>341</v>
      </c>
    </row>
    <row r="283" spans="13:16" x14ac:dyDescent="0.25">
      <c r="M283" s="1" t="s">
        <v>56</v>
      </c>
      <c r="N283" s="1" t="s">
        <v>105</v>
      </c>
      <c r="O283" s="1" t="s">
        <v>390</v>
      </c>
      <c r="P283" s="1" t="s">
        <v>341</v>
      </c>
    </row>
    <row r="284" spans="13:16" x14ac:dyDescent="0.25">
      <c r="M284" s="1" t="s">
        <v>52</v>
      </c>
      <c r="N284" s="1" t="s">
        <v>390</v>
      </c>
      <c r="O284" s="1" t="s">
        <v>390</v>
      </c>
      <c r="P284" s="1" t="s">
        <v>341</v>
      </c>
    </row>
    <row r="285" spans="13:16" x14ac:dyDescent="0.25">
      <c r="M285" s="1" t="s">
        <v>73</v>
      </c>
      <c r="N285" s="1" t="s">
        <v>201</v>
      </c>
      <c r="O285" s="1" t="s">
        <v>201</v>
      </c>
      <c r="P285" s="1" t="s">
        <v>341</v>
      </c>
    </row>
    <row r="286" spans="13:16" x14ac:dyDescent="0.25">
      <c r="M286" s="1" t="s">
        <v>55</v>
      </c>
      <c r="N286" s="1" t="s">
        <v>203</v>
      </c>
      <c r="O286" s="1" t="s">
        <v>197</v>
      </c>
      <c r="P286" s="1" t="s">
        <v>341</v>
      </c>
    </row>
    <row r="287" spans="13:16" x14ac:dyDescent="0.25">
      <c r="M287" s="1" t="s">
        <v>55</v>
      </c>
      <c r="N287" s="1" t="s">
        <v>203</v>
      </c>
      <c r="O287" s="1" t="s">
        <v>198</v>
      </c>
      <c r="P287" s="1" t="s">
        <v>341</v>
      </c>
    </row>
    <row r="288" spans="13:16" x14ac:dyDescent="0.25">
      <c r="M288" s="1" t="s">
        <v>55</v>
      </c>
      <c r="N288" s="1" t="s">
        <v>203</v>
      </c>
      <c r="O288" s="1" t="s">
        <v>199</v>
      </c>
      <c r="P288" s="1" t="s">
        <v>341</v>
      </c>
    </row>
    <row r="289" spans="13:16" x14ac:dyDescent="0.25">
      <c r="M289" s="1" t="s">
        <v>55</v>
      </c>
      <c r="N289" s="1" t="s">
        <v>203</v>
      </c>
      <c r="O289" s="1" t="s">
        <v>200</v>
      </c>
      <c r="P289" s="1" t="s">
        <v>341</v>
      </c>
    </row>
    <row r="290" spans="13:16" x14ac:dyDescent="0.25">
      <c r="M290" s="1" t="s">
        <v>55</v>
      </c>
      <c r="N290" s="1" t="s">
        <v>203</v>
      </c>
      <c r="O290" s="1" t="s">
        <v>201</v>
      </c>
      <c r="P290" s="1" t="s">
        <v>341</v>
      </c>
    </row>
    <row r="291" spans="13:16" x14ac:dyDescent="0.25">
      <c r="M291" s="1" t="s">
        <v>55</v>
      </c>
      <c r="N291" s="1" t="s">
        <v>203</v>
      </c>
      <c r="O291" s="1" t="s">
        <v>391</v>
      </c>
      <c r="P291" s="1" t="s">
        <v>341</v>
      </c>
    </row>
    <row r="292" spans="13:16" x14ac:dyDescent="0.25">
      <c r="M292" s="1" t="s">
        <v>55</v>
      </c>
      <c r="N292" s="1" t="s">
        <v>203</v>
      </c>
      <c r="O292" s="1" t="s">
        <v>390</v>
      </c>
      <c r="P292" s="1" t="s">
        <v>341</v>
      </c>
    </row>
    <row r="293" spans="13:16" x14ac:dyDescent="0.25">
      <c r="M293" s="1" t="s">
        <v>73</v>
      </c>
      <c r="N293" s="1" t="s">
        <v>200</v>
      </c>
      <c r="O293" s="1" t="s">
        <v>200</v>
      </c>
      <c r="P293" s="1" t="s">
        <v>341</v>
      </c>
    </row>
    <row r="294" spans="13:16" x14ac:dyDescent="0.25">
      <c r="M294" s="1" t="s">
        <v>56</v>
      </c>
      <c r="N294" s="1" t="s">
        <v>518</v>
      </c>
      <c r="O294" s="1" t="s">
        <v>201</v>
      </c>
      <c r="P294" s="1" t="s">
        <v>341</v>
      </c>
    </row>
    <row r="295" spans="13:16" x14ac:dyDescent="0.25">
      <c r="M295" s="1" t="s">
        <v>56</v>
      </c>
      <c r="N295" s="1" t="s">
        <v>518</v>
      </c>
      <c r="O295" s="1" t="s">
        <v>391</v>
      </c>
      <c r="P295" s="1" t="s">
        <v>341</v>
      </c>
    </row>
    <row r="296" spans="13:16" x14ac:dyDescent="0.25">
      <c r="M296" s="1" t="s">
        <v>56</v>
      </c>
      <c r="N296" s="1" t="s">
        <v>518</v>
      </c>
      <c r="O296" s="1" t="s">
        <v>390</v>
      </c>
      <c r="P296" s="1" t="s">
        <v>341</v>
      </c>
    </row>
    <row r="297" spans="13:16" x14ac:dyDescent="0.25">
      <c r="M297" s="1" t="s">
        <v>56</v>
      </c>
      <c r="N297" s="1" t="s">
        <v>507</v>
      </c>
      <c r="O297" s="1" t="s">
        <v>201</v>
      </c>
      <c r="P297" s="1" t="s">
        <v>341</v>
      </c>
    </row>
    <row r="298" spans="13:16" x14ac:dyDescent="0.25">
      <c r="M298" s="1" t="s">
        <v>56</v>
      </c>
      <c r="N298" s="1" t="s">
        <v>507</v>
      </c>
      <c r="O298" s="1" t="s">
        <v>391</v>
      </c>
      <c r="P298" s="1" t="s">
        <v>341</v>
      </c>
    </row>
    <row r="299" spans="13:16" x14ac:dyDescent="0.25">
      <c r="M299" s="1" t="s">
        <v>56</v>
      </c>
      <c r="N299" s="1" t="s">
        <v>507</v>
      </c>
      <c r="O299" s="1" t="s">
        <v>390</v>
      </c>
      <c r="P299" s="1" t="s">
        <v>341</v>
      </c>
    </row>
    <row r="300" spans="13:16" x14ac:dyDescent="0.25">
      <c r="M300" s="1" t="s">
        <v>56</v>
      </c>
      <c r="N300" s="1" t="s">
        <v>509</v>
      </c>
      <c r="O300" s="1" t="s">
        <v>201</v>
      </c>
      <c r="P300" s="1" t="s">
        <v>341</v>
      </c>
    </row>
    <row r="301" spans="13:16" x14ac:dyDescent="0.25">
      <c r="M301" s="1" t="s">
        <v>56</v>
      </c>
      <c r="N301" s="1" t="s">
        <v>509</v>
      </c>
      <c r="O301" s="1" t="s">
        <v>391</v>
      </c>
      <c r="P301" s="1" t="s">
        <v>341</v>
      </c>
    </row>
    <row r="302" spans="13:16" x14ac:dyDescent="0.25">
      <c r="M302" s="1" t="s">
        <v>56</v>
      </c>
      <c r="N302" s="1" t="s">
        <v>509</v>
      </c>
      <c r="O302" s="1" t="s">
        <v>390</v>
      </c>
      <c r="P302" s="1" t="s">
        <v>341</v>
      </c>
    </row>
    <row r="303" spans="13:16" x14ac:dyDescent="0.25">
      <c r="M303" s="1" t="s">
        <v>56</v>
      </c>
      <c r="N303" s="1" t="s">
        <v>499</v>
      </c>
      <c r="O303" s="1" t="s">
        <v>197</v>
      </c>
      <c r="P303" s="1" t="s">
        <v>321</v>
      </c>
    </row>
    <row r="304" spans="13:16" x14ac:dyDescent="0.25">
      <c r="M304" s="1" t="s">
        <v>56</v>
      </c>
      <c r="N304" s="1" t="s">
        <v>499</v>
      </c>
      <c r="O304" s="1" t="s">
        <v>198</v>
      </c>
      <c r="P304" s="1" t="s">
        <v>321</v>
      </c>
    </row>
    <row r="305" spans="13:16" x14ac:dyDescent="0.25">
      <c r="M305" s="1" t="s">
        <v>56</v>
      </c>
      <c r="N305" s="1" t="s">
        <v>499</v>
      </c>
      <c r="O305" s="1" t="s">
        <v>199</v>
      </c>
      <c r="P305" s="1" t="s">
        <v>321</v>
      </c>
    </row>
    <row r="306" spans="13:16" x14ac:dyDescent="0.25">
      <c r="M306" s="1" t="s">
        <v>56</v>
      </c>
      <c r="N306" s="1" t="s">
        <v>499</v>
      </c>
      <c r="O306" s="1" t="s">
        <v>200</v>
      </c>
      <c r="P306" s="1" t="s">
        <v>321</v>
      </c>
    </row>
    <row r="307" spans="13:16" x14ac:dyDescent="0.25">
      <c r="M307" s="1" t="s">
        <v>56</v>
      </c>
      <c r="N307" s="1" t="s">
        <v>499</v>
      </c>
      <c r="O307" s="1" t="s">
        <v>201</v>
      </c>
      <c r="P307" s="1" t="s">
        <v>321</v>
      </c>
    </row>
    <row r="308" spans="13:16" x14ac:dyDescent="0.25">
      <c r="M308" s="1" t="s">
        <v>56</v>
      </c>
      <c r="N308" s="1" t="s">
        <v>499</v>
      </c>
      <c r="O308" s="1" t="s">
        <v>391</v>
      </c>
      <c r="P308" s="1" t="s">
        <v>321</v>
      </c>
    </row>
    <row r="309" spans="13:16" x14ac:dyDescent="0.25">
      <c r="M309" s="1" t="s">
        <v>56</v>
      </c>
      <c r="N309" s="1" t="s">
        <v>499</v>
      </c>
      <c r="O309" s="1" t="s">
        <v>390</v>
      </c>
      <c r="P309" s="1" t="s">
        <v>321</v>
      </c>
    </row>
    <row r="310" spans="13:16" x14ac:dyDescent="0.25">
      <c r="M310" s="1" t="s">
        <v>56</v>
      </c>
      <c r="N310" s="1" t="s">
        <v>503</v>
      </c>
      <c r="O310" s="1" t="s">
        <v>198</v>
      </c>
      <c r="P310" s="1" t="s">
        <v>322</v>
      </c>
    </row>
    <row r="311" spans="13:16" x14ac:dyDescent="0.25">
      <c r="M311" s="1" t="s">
        <v>56</v>
      </c>
      <c r="N311" s="1" t="s">
        <v>503</v>
      </c>
      <c r="O311" s="1" t="s">
        <v>199</v>
      </c>
      <c r="P311" s="1" t="s">
        <v>322</v>
      </c>
    </row>
    <row r="312" spans="13:16" x14ac:dyDescent="0.25">
      <c r="M312" s="1" t="s">
        <v>56</v>
      </c>
      <c r="N312" s="1" t="s">
        <v>503</v>
      </c>
      <c r="O312" s="1" t="s">
        <v>200</v>
      </c>
      <c r="P312" s="1" t="s">
        <v>322</v>
      </c>
    </row>
    <row r="313" spans="13:16" x14ac:dyDescent="0.25">
      <c r="M313" s="1" t="s">
        <v>56</v>
      </c>
      <c r="N313" s="1" t="s">
        <v>503</v>
      </c>
      <c r="O313" s="1" t="s">
        <v>201</v>
      </c>
      <c r="P313" s="1" t="s">
        <v>322</v>
      </c>
    </row>
    <row r="314" spans="13:16" x14ac:dyDescent="0.25">
      <c r="M314" s="1" t="s">
        <v>56</v>
      </c>
      <c r="N314" s="1" t="s">
        <v>503</v>
      </c>
      <c r="O314" s="1" t="s">
        <v>391</v>
      </c>
      <c r="P314" s="1" t="s">
        <v>322</v>
      </c>
    </row>
    <row r="315" spans="13:16" x14ac:dyDescent="0.25">
      <c r="M315" s="1" t="s">
        <v>56</v>
      </c>
      <c r="N315" s="1" t="s">
        <v>503</v>
      </c>
      <c r="O315" s="1" t="s">
        <v>390</v>
      </c>
      <c r="P315" s="1" t="s">
        <v>322</v>
      </c>
    </row>
    <row r="316" spans="13:16" x14ac:dyDescent="0.25">
      <c r="M316" s="1" t="s">
        <v>56</v>
      </c>
      <c r="N316" s="1" t="s">
        <v>511</v>
      </c>
      <c r="O316" s="1" t="s">
        <v>201</v>
      </c>
      <c r="P316" s="1" t="s">
        <v>341</v>
      </c>
    </row>
    <row r="317" spans="13:16" x14ac:dyDescent="0.25">
      <c r="M317" s="1" t="s">
        <v>56</v>
      </c>
      <c r="N317" s="1" t="s">
        <v>511</v>
      </c>
      <c r="O317" s="1" t="s">
        <v>391</v>
      </c>
      <c r="P317" s="1" t="s">
        <v>341</v>
      </c>
    </row>
    <row r="318" spans="13:16" x14ac:dyDescent="0.25">
      <c r="M318" s="1" t="s">
        <v>56</v>
      </c>
      <c r="N318" s="1" t="s">
        <v>511</v>
      </c>
      <c r="O318" s="1" t="s">
        <v>390</v>
      </c>
      <c r="P318" s="1" t="s">
        <v>341</v>
      </c>
    </row>
    <row r="319" spans="13:16" x14ac:dyDescent="0.25">
      <c r="M319" s="1" t="s">
        <v>56</v>
      </c>
      <c r="N319" s="1" t="s">
        <v>501</v>
      </c>
      <c r="O319" s="1" t="s">
        <v>197</v>
      </c>
      <c r="P319" s="1" t="s">
        <v>321</v>
      </c>
    </row>
    <row r="320" spans="13:16" x14ac:dyDescent="0.25">
      <c r="M320" s="1" t="s">
        <v>56</v>
      </c>
      <c r="N320" s="1" t="s">
        <v>501</v>
      </c>
      <c r="O320" s="1" t="s">
        <v>198</v>
      </c>
      <c r="P320" s="1" t="s">
        <v>321</v>
      </c>
    </row>
    <row r="321" spans="13:16" x14ac:dyDescent="0.25">
      <c r="M321" s="1" t="s">
        <v>56</v>
      </c>
      <c r="N321" s="1" t="s">
        <v>501</v>
      </c>
      <c r="O321" s="1" t="s">
        <v>199</v>
      </c>
      <c r="P321" s="1" t="s">
        <v>321</v>
      </c>
    </row>
    <row r="322" spans="13:16" x14ac:dyDescent="0.25">
      <c r="M322" s="1" t="s">
        <v>56</v>
      </c>
      <c r="N322" s="1" t="s">
        <v>501</v>
      </c>
      <c r="O322" s="1" t="s">
        <v>200</v>
      </c>
      <c r="P322" s="1" t="s">
        <v>321</v>
      </c>
    </row>
    <row r="323" spans="13:16" x14ac:dyDescent="0.25">
      <c r="M323" s="1" t="s">
        <v>56</v>
      </c>
      <c r="N323" s="1" t="s">
        <v>501</v>
      </c>
      <c r="O323" s="1" t="s">
        <v>201</v>
      </c>
      <c r="P323" s="1" t="s">
        <v>321</v>
      </c>
    </row>
    <row r="324" spans="13:16" x14ac:dyDescent="0.25">
      <c r="M324" s="1" t="s">
        <v>56</v>
      </c>
      <c r="N324" s="1" t="s">
        <v>501</v>
      </c>
      <c r="O324" s="1" t="s">
        <v>391</v>
      </c>
      <c r="P324" s="1" t="s">
        <v>321</v>
      </c>
    </row>
    <row r="325" spans="13:16" x14ac:dyDescent="0.25">
      <c r="M325" s="1" t="s">
        <v>56</v>
      </c>
      <c r="N325" s="1" t="s">
        <v>501</v>
      </c>
      <c r="O325" s="1" t="s">
        <v>390</v>
      </c>
      <c r="P325" s="1" t="s">
        <v>321</v>
      </c>
    </row>
    <row r="326" spans="13:16" x14ac:dyDescent="0.25">
      <c r="M326" s="1" t="s">
        <v>56</v>
      </c>
      <c r="N326" s="1" t="s">
        <v>505</v>
      </c>
      <c r="O326" s="1" t="s">
        <v>198</v>
      </c>
      <c r="P326" s="1" t="s">
        <v>322</v>
      </c>
    </row>
    <row r="327" spans="13:16" x14ac:dyDescent="0.25">
      <c r="M327" s="1" t="s">
        <v>56</v>
      </c>
      <c r="N327" s="1" t="s">
        <v>505</v>
      </c>
      <c r="O327" s="1" t="s">
        <v>199</v>
      </c>
      <c r="P327" s="1" t="s">
        <v>322</v>
      </c>
    </row>
    <row r="328" spans="13:16" x14ac:dyDescent="0.25">
      <c r="M328" s="1" t="s">
        <v>56</v>
      </c>
      <c r="N328" s="1" t="s">
        <v>505</v>
      </c>
      <c r="O328" s="1" t="s">
        <v>200</v>
      </c>
      <c r="P328" s="1" t="s">
        <v>322</v>
      </c>
    </row>
    <row r="329" spans="13:16" x14ac:dyDescent="0.25">
      <c r="M329" s="1" t="s">
        <v>56</v>
      </c>
      <c r="N329" s="1" t="s">
        <v>505</v>
      </c>
      <c r="O329" s="1" t="s">
        <v>201</v>
      </c>
      <c r="P329" s="1" t="s">
        <v>322</v>
      </c>
    </row>
    <row r="330" spans="13:16" x14ac:dyDescent="0.25">
      <c r="M330" s="1" t="s">
        <v>56</v>
      </c>
      <c r="N330" s="1" t="s">
        <v>505</v>
      </c>
      <c r="O330" s="1" t="s">
        <v>391</v>
      </c>
      <c r="P330" s="1" t="s">
        <v>322</v>
      </c>
    </row>
    <row r="331" spans="13:16" x14ac:dyDescent="0.25">
      <c r="M331" s="1" t="s">
        <v>56</v>
      </c>
      <c r="N331" s="1" t="s">
        <v>505</v>
      </c>
      <c r="O331" s="1" t="s">
        <v>390</v>
      </c>
      <c r="P331" s="1" t="s">
        <v>322</v>
      </c>
    </row>
    <row r="332" spans="13:16" x14ac:dyDescent="0.25">
      <c r="M332" s="1" t="s">
        <v>56</v>
      </c>
      <c r="N332" s="1" t="s">
        <v>520</v>
      </c>
      <c r="O332" s="1" t="s">
        <v>201</v>
      </c>
      <c r="P332" s="1" t="s">
        <v>341</v>
      </c>
    </row>
    <row r="333" spans="13:16" x14ac:dyDescent="0.25">
      <c r="M333" s="1" t="s">
        <v>56</v>
      </c>
      <c r="N333" s="1" t="s">
        <v>520</v>
      </c>
      <c r="O333" s="1" t="s">
        <v>391</v>
      </c>
      <c r="P333" s="1" t="s">
        <v>341</v>
      </c>
    </row>
    <row r="334" spans="13:16" x14ac:dyDescent="0.25">
      <c r="M334" s="1" t="s">
        <v>56</v>
      </c>
      <c r="N334" s="1" t="s">
        <v>520</v>
      </c>
      <c r="O334" s="1" t="s">
        <v>390</v>
      </c>
      <c r="P334" s="1" t="s">
        <v>341</v>
      </c>
    </row>
    <row r="335" spans="13:16" x14ac:dyDescent="0.25">
      <c r="M335" s="1" t="s">
        <v>56</v>
      </c>
      <c r="N335" s="1" t="s">
        <v>498</v>
      </c>
      <c r="O335" s="1" t="s">
        <v>197</v>
      </c>
      <c r="P335" s="1" t="s">
        <v>321</v>
      </c>
    </row>
    <row r="336" spans="13:16" x14ac:dyDescent="0.25">
      <c r="M336" s="1" t="s">
        <v>56</v>
      </c>
      <c r="N336" s="1" t="s">
        <v>498</v>
      </c>
      <c r="O336" s="1" t="s">
        <v>198</v>
      </c>
      <c r="P336" s="1" t="s">
        <v>321</v>
      </c>
    </row>
    <row r="337" spans="13:16" x14ac:dyDescent="0.25">
      <c r="M337" s="1" t="s">
        <v>56</v>
      </c>
      <c r="N337" s="1" t="s">
        <v>498</v>
      </c>
      <c r="O337" s="1" t="s">
        <v>199</v>
      </c>
      <c r="P337" s="1" t="s">
        <v>321</v>
      </c>
    </row>
    <row r="338" spans="13:16" x14ac:dyDescent="0.25">
      <c r="M338" s="1" t="s">
        <v>56</v>
      </c>
      <c r="N338" s="1" t="s">
        <v>498</v>
      </c>
      <c r="O338" s="1" t="s">
        <v>200</v>
      </c>
      <c r="P338" s="1" t="s">
        <v>321</v>
      </c>
    </row>
    <row r="339" spans="13:16" x14ac:dyDescent="0.25">
      <c r="M339" s="1" t="s">
        <v>56</v>
      </c>
      <c r="N339" s="1" t="s">
        <v>498</v>
      </c>
      <c r="O339" s="1" t="s">
        <v>201</v>
      </c>
      <c r="P339" s="1" t="s">
        <v>321</v>
      </c>
    </row>
    <row r="340" spans="13:16" x14ac:dyDescent="0.25">
      <c r="M340" s="1" t="s">
        <v>56</v>
      </c>
      <c r="N340" s="1" t="s">
        <v>498</v>
      </c>
      <c r="O340" s="1" t="s">
        <v>391</v>
      </c>
      <c r="P340" s="1" t="s">
        <v>321</v>
      </c>
    </row>
    <row r="341" spans="13:16" x14ac:dyDescent="0.25">
      <c r="M341" s="1" t="s">
        <v>56</v>
      </c>
      <c r="N341" s="1" t="s">
        <v>498</v>
      </c>
      <c r="O341" s="1" t="s">
        <v>390</v>
      </c>
      <c r="P341" s="1" t="s">
        <v>321</v>
      </c>
    </row>
    <row r="342" spans="13:16" x14ac:dyDescent="0.25">
      <c r="M342" s="1" t="s">
        <v>54</v>
      </c>
      <c r="N342" s="1" t="s">
        <v>68</v>
      </c>
      <c r="O342" s="1" t="s">
        <v>200</v>
      </c>
      <c r="P342" s="1" t="s">
        <v>341</v>
      </c>
    </row>
    <row r="343" spans="13:16" x14ac:dyDescent="0.25">
      <c r="M343" s="1" t="s">
        <v>54</v>
      </c>
      <c r="N343" s="1" t="s">
        <v>68</v>
      </c>
      <c r="O343" s="1" t="s">
        <v>201</v>
      </c>
      <c r="P343" s="1" t="s">
        <v>341</v>
      </c>
    </row>
    <row r="344" spans="13:16" x14ac:dyDescent="0.25">
      <c r="M344" s="1" t="s">
        <v>54</v>
      </c>
      <c r="N344" s="1" t="s">
        <v>67</v>
      </c>
      <c r="O344" s="1" t="s">
        <v>197</v>
      </c>
      <c r="P344" s="1" t="s">
        <v>341</v>
      </c>
    </row>
    <row r="345" spans="13:16" x14ac:dyDescent="0.25">
      <c r="M345" s="1" t="s">
        <v>54</v>
      </c>
      <c r="N345" s="1" t="s">
        <v>67</v>
      </c>
      <c r="O345" s="1" t="s">
        <v>198</v>
      </c>
      <c r="P345" s="1" t="s">
        <v>341</v>
      </c>
    </row>
    <row r="346" spans="13:16" x14ac:dyDescent="0.25">
      <c r="M346" s="1" t="s">
        <v>54</v>
      </c>
      <c r="N346" s="1" t="s">
        <v>67</v>
      </c>
      <c r="O346" s="1" t="s">
        <v>199</v>
      </c>
      <c r="P346" s="1" t="s">
        <v>341</v>
      </c>
    </row>
    <row r="347" spans="13:16" x14ac:dyDescent="0.25">
      <c r="M347" s="1" t="s">
        <v>54</v>
      </c>
      <c r="N347" s="1" t="s">
        <v>67</v>
      </c>
      <c r="O347" s="1" t="s">
        <v>200</v>
      </c>
      <c r="P347" s="1" t="s">
        <v>341</v>
      </c>
    </row>
    <row r="348" spans="13:16" x14ac:dyDescent="0.25">
      <c r="M348" s="1" t="s">
        <v>54</v>
      </c>
      <c r="N348" s="1" t="s">
        <v>67</v>
      </c>
      <c r="O348" s="1" t="s">
        <v>201</v>
      </c>
      <c r="P348" s="1" t="s">
        <v>341</v>
      </c>
    </row>
    <row r="349" spans="13:16" x14ac:dyDescent="0.25">
      <c r="M349" s="1" t="s">
        <v>56</v>
      </c>
      <c r="N349" s="1" t="s">
        <v>524</v>
      </c>
      <c r="O349" s="1" t="s">
        <v>201</v>
      </c>
      <c r="P349" s="1" t="s">
        <v>341</v>
      </c>
    </row>
    <row r="350" spans="13:16" x14ac:dyDescent="0.25">
      <c r="M350" s="1" t="s">
        <v>56</v>
      </c>
      <c r="N350" s="1" t="s">
        <v>524</v>
      </c>
      <c r="O350" s="1" t="s">
        <v>391</v>
      </c>
      <c r="P350" s="1" t="s">
        <v>341</v>
      </c>
    </row>
    <row r="351" spans="13:16" x14ac:dyDescent="0.25">
      <c r="M351" s="1" t="s">
        <v>56</v>
      </c>
      <c r="N351" s="1" t="s">
        <v>524</v>
      </c>
      <c r="O351" s="1" t="s">
        <v>390</v>
      </c>
      <c r="P351" s="1" t="s">
        <v>341</v>
      </c>
    </row>
    <row r="352" spans="13:16" x14ac:dyDescent="0.25">
      <c r="M352" s="1" t="s">
        <v>56</v>
      </c>
      <c r="N352" s="1" t="s">
        <v>664</v>
      </c>
      <c r="O352" s="1" t="s">
        <v>197</v>
      </c>
      <c r="P352" s="1" t="s">
        <v>321</v>
      </c>
    </row>
    <row r="353" spans="13:16" x14ac:dyDescent="0.25">
      <c r="M353" s="1" t="s">
        <v>56</v>
      </c>
      <c r="N353" s="1" t="s">
        <v>664</v>
      </c>
      <c r="O353" s="1" t="s">
        <v>198</v>
      </c>
      <c r="P353" s="1" t="s">
        <v>321</v>
      </c>
    </row>
    <row r="354" spans="13:16" x14ac:dyDescent="0.25">
      <c r="M354" s="1" t="s">
        <v>56</v>
      </c>
      <c r="N354" s="1" t="s">
        <v>664</v>
      </c>
      <c r="O354" s="1" t="s">
        <v>199</v>
      </c>
      <c r="P354" s="1" t="s">
        <v>321</v>
      </c>
    </row>
    <row r="355" spans="13:16" x14ac:dyDescent="0.25">
      <c r="M355" s="1" t="s">
        <v>56</v>
      </c>
      <c r="N355" s="1" t="s">
        <v>664</v>
      </c>
      <c r="O355" s="1" t="s">
        <v>200</v>
      </c>
      <c r="P355" s="1" t="s">
        <v>321</v>
      </c>
    </row>
    <row r="356" spans="13:16" x14ac:dyDescent="0.25">
      <c r="M356" s="1" t="s">
        <v>56</v>
      </c>
      <c r="N356" s="1" t="s">
        <v>664</v>
      </c>
      <c r="O356" s="1" t="s">
        <v>201</v>
      </c>
      <c r="P356" s="1" t="s">
        <v>321</v>
      </c>
    </row>
    <row r="357" spans="13:16" x14ac:dyDescent="0.25">
      <c r="M357" s="1" t="s">
        <v>56</v>
      </c>
      <c r="N357" s="1" t="s">
        <v>664</v>
      </c>
      <c r="O357" s="1" t="s">
        <v>391</v>
      </c>
      <c r="P357" s="1" t="s">
        <v>321</v>
      </c>
    </row>
    <row r="358" spans="13:16" x14ac:dyDescent="0.25">
      <c r="M358" s="1" t="s">
        <v>56</v>
      </c>
      <c r="N358" s="1" t="s">
        <v>664</v>
      </c>
      <c r="O358" s="1" t="s">
        <v>390</v>
      </c>
      <c r="P358" s="1" t="s">
        <v>321</v>
      </c>
    </row>
    <row r="359" spans="13:16" x14ac:dyDescent="0.25">
      <c r="M359" s="1" t="s">
        <v>56</v>
      </c>
      <c r="N359" s="1" t="s">
        <v>665</v>
      </c>
      <c r="O359" s="1" t="s">
        <v>198</v>
      </c>
      <c r="P359" s="1" t="s">
        <v>322</v>
      </c>
    </row>
    <row r="360" spans="13:16" x14ac:dyDescent="0.25">
      <c r="M360" s="1" t="s">
        <v>56</v>
      </c>
      <c r="N360" s="1" t="s">
        <v>665</v>
      </c>
      <c r="O360" s="1" t="s">
        <v>199</v>
      </c>
      <c r="P360" s="1" t="s">
        <v>322</v>
      </c>
    </row>
    <row r="361" spans="13:16" x14ac:dyDescent="0.25">
      <c r="M361" s="1" t="s">
        <v>56</v>
      </c>
      <c r="N361" s="1" t="s">
        <v>665</v>
      </c>
      <c r="O361" s="1" t="s">
        <v>200</v>
      </c>
      <c r="P361" s="1" t="s">
        <v>322</v>
      </c>
    </row>
    <row r="362" spans="13:16" x14ac:dyDescent="0.25">
      <c r="M362" s="1" t="s">
        <v>56</v>
      </c>
      <c r="N362" s="1" t="s">
        <v>665</v>
      </c>
      <c r="O362" s="1" t="s">
        <v>201</v>
      </c>
      <c r="P362" s="1" t="s">
        <v>322</v>
      </c>
    </row>
    <row r="363" spans="13:16" x14ac:dyDescent="0.25">
      <c r="M363" s="1" t="s">
        <v>56</v>
      </c>
      <c r="N363" s="1" t="s">
        <v>665</v>
      </c>
      <c r="O363" s="1" t="s">
        <v>391</v>
      </c>
      <c r="P363" s="1" t="s">
        <v>322</v>
      </c>
    </row>
    <row r="364" spans="13:16" x14ac:dyDescent="0.25">
      <c r="M364" s="1" t="s">
        <v>56</v>
      </c>
      <c r="N364" s="1" t="s">
        <v>665</v>
      </c>
      <c r="O364" s="1" t="s">
        <v>390</v>
      </c>
      <c r="P364" s="1" t="s">
        <v>322</v>
      </c>
    </row>
    <row r="365" spans="13:16" x14ac:dyDescent="0.25">
      <c r="M365" s="1" t="s">
        <v>56</v>
      </c>
      <c r="N365" s="1" t="s">
        <v>523</v>
      </c>
      <c r="O365" s="1" t="s">
        <v>201</v>
      </c>
      <c r="P365" s="1" t="s">
        <v>341</v>
      </c>
    </row>
    <row r="366" spans="13:16" x14ac:dyDescent="0.25">
      <c r="M366" s="1" t="s">
        <v>56</v>
      </c>
      <c r="N366" s="1" t="s">
        <v>523</v>
      </c>
      <c r="O366" s="1" t="s">
        <v>391</v>
      </c>
      <c r="P366" s="1" t="s">
        <v>341</v>
      </c>
    </row>
    <row r="367" spans="13:16" x14ac:dyDescent="0.25">
      <c r="M367" s="1" t="s">
        <v>56</v>
      </c>
      <c r="N367" s="1" t="s">
        <v>523</v>
      </c>
      <c r="O367" s="1" t="s">
        <v>390</v>
      </c>
      <c r="P367" s="1" t="s">
        <v>341</v>
      </c>
    </row>
    <row r="368" spans="13:16" x14ac:dyDescent="0.25">
      <c r="M368" s="1" t="s">
        <v>56</v>
      </c>
      <c r="N368" s="1" t="s">
        <v>666</v>
      </c>
      <c r="O368" s="1" t="s">
        <v>197</v>
      </c>
      <c r="P368" s="1" t="s">
        <v>321</v>
      </c>
    </row>
    <row r="369" spans="13:16" x14ac:dyDescent="0.25">
      <c r="M369" s="1" t="s">
        <v>56</v>
      </c>
      <c r="N369" s="1" t="s">
        <v>666</v>
      </c>
      <c r="O369" s="1" t="s">
        <v>198</v>
      </c>
      <c r="P369" s="1" t="s">
        <v>321</v>
      </c>
    </row>
    <row r="370" spans="13:16" x14ac:dyDescent="0.25">
      <c r="M370" s="1" t="s">
        <v>56</v>
      </c>
      <c r="N370" s="1" t="s">
        <v>666</v>
      </c>
      <c r="O370" s="1" t="s">
        <v>199</v>
      </c>
      <c r="P370" s="1" t="s">
        <v>321</v>
      </c>
    </row>
    <row r="371" spans="13:16" x14ac:dyDescent="0.25">
      <c r="M371" s="1" t="s">
        <v>56</v>
      </c>
      <c r="N371" s="1" t="s">
        <v>666</v>
      </c>
      <c r="O371" s="1" t="s">
        <v>200</v>
      </c>
      <c r="P371" s="1" t="s">
        <v>321</v>
      </c>
    </row>
    <row r="372" spans="13:16" x14ac:dyDescent="0.25">
      <c r="M372" s="1" t="s">
        <v>56</v>
      </c>
      <c r="N372" s="1" t="s">
        <v>666</v>
      </c>
      <c r="O372" s="1" t="s">
        <v>201</v>
      </c>
      <c r="P372" s="1" t="s">
        <v>321</v>
      </c>
    </row>
    <row r="373" spans="13:16" x14ac:dyDescent="0.25">
      <c r="M373" s="1" t="s">
        <v>56</v>
      </c>
      <c r="N373" s="1" t="s">
        <v>666</v>
      </c>
      <c r="O373" s="1" t="s">
        <v>391</v>
      </c>
      <c r="P373" s="1" t="s">
        <v>321</v>
      </c>
    </row>
    <row r="374" spans="13:16" x14ac:dyDescent="0.25">
      <c r="M374" s="1" t="s">
        <v>56</v>
      </c>
      <c r="N374" s="1" t="s">
        <v>666</v>
      </c>
      <c r="O374" s="1" t="s">
        <v>390</v>
      </c>
      <c r="P374" s="1" t="s">
        <v>321</v>
      </c>
    </row>
    <row r="375" spans="13:16" x14ac:dyDescent="0.25">
      <c r="M375" s="1" t="s">
        <v>56</v>
      </c>
      <c r="N375" s="1" t="s">
        <v>667</v>
      </c>
      <c r="O375" s="1" t="s">
        <v>198</v>
      </c>
      <c r="P375" s="1" t="s">
        <v>322</v>
      </c>
    </row>
    <row r="376" spans="13:16" x14ac:dyDescent="0.25">
      <c r="M376" s="1" t="s">
        <v>56</v>
      </c>
      <c r="N376" s="1" t="s">
        <v>667</v>
      </c>
      <c r="O376" s="1" t="s">
        <v>199</v>
      </c>
      <c r="P376" s="1" t="s">
        <v>322</v>
      </c>
    </row>
    <row r="377" spans="13:16" x14ac:dyDescent="0.25">
      <c r="M377" s="1" t="s">
        <v>56</v>
      </c>
      <c r="N377" s="1" t="s">
        <v>667</v>
      </c>
      <c r="O377" s="1" t="s">
        <v>200</v>
      </c>
      <c r="P377" s="1" t="s">
        <v>322</v>
      </c>
    </row>
    <row r="378" spans="13:16" x14ac:dyDescent="0.25">
      <c r="M378" s="1" t="s">
        <v>56</v>
      </c>
      <c r="N378" s="1" t="s">
        <v>667</v>
      </c>
      <c r="O378" s="1" t="s">
        <v>201</v>
      </c>
      <c r="P378" s="1" t="s">
        <v>322</v>
      </c>
    </row>
    <row r="379" spans="13:16" x14ac:dyDescent="0.25">
      <c r="M379" s="1" t="s">
        <v>56</v>
      </c>
      <c r="N379" s="1" t="s">
        <v>667</v>
      </c>
      <c r="O379" s="1" t="s">
        <v>391</v>
      </c>
      <c r="P379" s="1" t="s">
        <v>322</v>
      </c>
    </row>
    <row r="380" spans="13:16" x14ac:dyDescent="0.25">
      <c r="M380" s="1" t="s">
        <v>56</v>
      </c>
      <c r="N380" s="1" t="s">
        <v>667</v>
      </c>
      <c r="O380" s="1" t="s">
        <v>390</v>
      </c>
      <c r="P380" s="1" t="s">
        <v>322</v>
      </c>
    </row>
    <row r="381" spans="13:16" x14ac:dyDescent="0.25">
      <c r="M381" s="1" t="s">
        <v>56</v>
      </c>
      <c r="N381" s="1" t="s">
        <v>652</v>
      </c>
      <c r="O381" s="1" t="s">
        <v>201</v>
      </c>
      <c r="P381" s="1" t="s">
        <v>341</v>
      </c>
    </row>
    <row r="382" spans="13:16" x14ac:dyDescent="0.25">
      <c r="M382" s="1" t="s">
        <v>56</v>
      </c>
      <c r="N382" s="1" t="s">
        <v>652</v>
      </c>
      <c r="O382" s="1" t="s">
        <v>391</v>
      </c>
      <c r="P382" s="1" t="s">
        <v>341</v>
      </c>
    </row>
    <row r="383" spans="13:16" x14ac:dyDescent="0.25">
      <c r="M383" s="1" t="s">
        <v>56</v>
      </c>
      <c r="N383" s="1" t="s">
        <v>652</v>
      </c>
      <c r="O383" s="1" t="s">
        <v>390</v>
      </c>
      <c r="P383" s="1" t="s">
        <v>341</v>
      </c>
    </row>
    <row r="384" spans="13:16" x14ac:dyDescent="0.25">
      <c r="M384" s="1" t="s">
        <v>56</v>
      </c>
      <c r="N384" s="1" t="s">
        <v>653</v>
      </c>
      <c r="O384" s="1" t="s">
        <v>197</v>
      </c>
      <c r="P384" s="1" t="s">
        <v>321</v>
      </c>
    </row>
    <row r="385" spans="13:16" x14ac:dyDescent="0.25">
      <c r="M385" s="1" t="s">
        <v>56</v>
      </c>
      <c r="N385" s="1" t="s">
        <v>653</v>
      </c>
      <c r="O385" s="1" t="s">
        <v>198</v>
      </c>
      <c r="P385" s="1" t="s">
        <v>321</v>
      </c>
    </row>
    <row r="386" spans="13:16" x14ac:dyDescent="0.25">
      <c r="M386" s="1" t="s">
        <v>56</v>
      </c>
      <c r="N386" s="1" t="s">
        <v>653</v>
      </c>
      <c r="O386" s="1" t="s">
        <v>199</v>
      </c>
      <c r="P386" s="1" t="s">
        <v>321</v>
      </c>
    </row>
    <row r="387" spans="13:16" x14ac:dyDescent="0.25">
      <c r="M387" s="1" t="s">
        <v>56</v>
      </c>
      <c r="N387" s="1" t="s">
        <v>653</v>
      </c>
      <c r="O387" s="1" t="s">
        <v>200</v>
      </c>
      <c r="P387" s="1" t="s">
        <v>321</v>
      </c>
    </row>
    <row r="388" spans="13:16" x14ac:dyDescent="0.25">
      <c r="M388" s="1" t="s">
        <v>56</v>
      </c>
      <c r="N388" s="1" t="s">
        <v>653</v>
      </c>
      <c r="O388" s="1" t="s">
        <v>201</v>
      </c>
      <c r="P388" s="1" t="s">
        <v>321</v>
      </c>
    </row>
    <row r="389" spans="13:16" x14ac:dyDescent="0.25">
      <c r="M389" s="1" t="s">
        <v>56</v>
      </c>
      <c r="N389" s="1" t="s">
        <v>653</v>
      </c>
      <c r="O389" s="1" t="s">
        <v>391</v>
      </c>
      <c r="P389" s="1" t="s">
        <v>321</v>
      </c>
    </row>
    <row r="390" spans="13:16" x14ac:dyDescent="0.25">
      <c r="M390" s="1" t="s">
        <v>56</v>
      </c>
      <c r="N390" s="1" t="s">
        <v>653</v>
      </c>
      <c r="O390" s="1" t="s">
        <v>390</v>
      </c>
      <c r="P390" s="1" t="s">
        <v>321</v>
      </c>
    </row>
    <row r="391" spans="13:16" x14ac:dyDescent="0.25">
      <c r="M391" s="1" t="s">
        <v>56</v>
      </c>
      <c r="N391" s="1" t="s">
        <v>654</v>
      </c>
      <c r="O391" s="1" t="s">
        <v>198</v>
      </c>
      <c r="P391" s="1" t="s">
        <v>322</v>
      </c>
    </row>
    <row r="392" spans="13:16" x14ac:dyDescent="0.25">
      <c r="M392" s="1" t="s">
        <v>56</v>
      </c>
      <c r="N392" s="1" t="s">
        <v>654</v>
      </c>
      <c r="O392" s="1" t="s">
        <v>199</v>
      </c>
      <c r="P392" s="1" t="s">
        <v>322</v>
      </c>
    </row>
    <row r="393" spans="13:16" x14ac:dyDescent="0.25">
      <c r="M393" s="1" t="s">
        <v>56</v>
      </c>
      <c r="N393" s="1" t="s">
        <v>654</v>
      </c>
      <c r="O393" s="1" t="s">
        <v>200</v>
      </c>
      <c r="P393" s="1" t="s">
        <v>322</v>
      </c>
    </row>
    <row r="394" spans="13:16" x14ac:dyDescent="0.25">
      <c r="M394" s="1" t="s">
        <v>56</v>
      </c>
      <c r="N394" s="1" t="s">
        <v>654</v>
      </c>
      <c r="O394" s="1" t="s">
        <v>201</v>
      </c>
      <c r="P394" s="1" t="s">
        <v>322</v>
      </c>
    </row>
    <row r="395" spans="13:16" x14ac:dyDescent="0.25">
      <c r="M395" s="1" t="s">
        <v>56</v>
      </c>
      <c r="N395" s="1" t="s">
        <v>654</v>
      </c>
      <c r="O395" s="1" t="s">
        <v>391</v>
      </c>
      <c r="P395" s="1" t="s">
        <v>322</v>
      </c>
    </row>
    <row r="396" spans="13:16" x14ac:dyDescent="0.25">
      <c r="M396" s="1" t="s">
        <v>56</v>
      </c>
      <c r="N396" s="1" t="s">
        <v>654</v>
      </c>
      <c r="O396" s="1" t="s">
        <v>390</v>
      </c>
      <c r="P396" s="1" t="s">
        <v>322</v>
      </c>
    </row>
    <row r="397" spans="13:16" x14ac:dyDescent="0.25">
      <c r="M397" s="1" t="s">
        <v>56</v>
      </c>
      <c r="N397" s="1" t="s">
        <v>508</v>
      </c>
      <c r="O397" s="1" t="s">
        <v>201</v>
      </c>
      <c r="P397" s="1" t="s">
        <v>341</v>
      </c>
    </row>
    <row r="398" spans="13:16" x14ac:dyDescent="0.25">
      <c r="M398" s="1" t="s">
        <v>56</v>
      </c>
      <c r="N398" s="1" t="s">
        <v>508</v>
      </c>
      <c r="O398" s="1" t="s">
        <v>391</v>
      </c>
      <c r="P398" s="1" t="s">
        <v>341</v>
      </c>
    </row>
    <row r="399" spans="13:16" x14ac:dyDescent="0.25">
      <c r="M399" s="1" t="s">
        <v>56</v>
      </c>
      <c r="N399" s="1" t="s">
        <v>508</v>
      </c>
      <c r="O399" s="1" t="s">
        <v>390</v>
      </c>
      <c r="P399" s="1" t="s">
        <v>341</v>
      </c>
    </row>
    <row r="400" spans="13:16" x14ac:dyDescent="0.25">
      <c r="M400" s="1" t="s">
        <v>56</v>
      </c>
      <c r="N400" s="1" t="s">
        <v>106</v>
      </c>
      <c r="O400" s="1" t="s">
        <v>201</v>
      </c>
      <c r="P400" s="1" t="s">
        <v>341</v>
      </c>
    </row>
    <row r="401" spans="13:16" x14ac:dyDescent="0.25">
      <c r="M401" s="1" t="s">
        <v>56</v>
      </c>
      <c r="N401" s="1" t="s">
        <v>106</v>
      </c>
      <c r="O401" s="1" t="s">
        <v>391</v>
      </c>
      <c r="P401" s="1" t="s">
        <v>341</v>
      </c>
    </row>
    <row r="402" spans="13:16" x14ac:dyDescent="0.25">
      <c r="M402" s="1" t="s">
        <v>56</v>
      </c>
      <c r="N402" s="1" t="s">
        <v>106</v>
      </c>
      <c r="O402" s="1" t="s">
        <v>390</v>
      </c>
      <c r="P402" s="1" t="s">
        <v>341</v>
      </c>
    </row>
    <row r="403" spans="13:16" x14ac:dyDescent="0.25">
      <c r="M403" s="1" t="s">
        <v>56</v>
      </c>
      <c r="N403" s="1" t="s">
        <v>104</v>
      </c>
      <c r="O403" s="1" t="s">
        <v>201</v>
      </c>
      <c r="P403" s="1" t="s">
        <v>341</v>
      </c>
    </row>
    <row r="404" spans="13:16" x14ac:dyDescent="0.25">
      <c r="M404" s="1" t="s">
        <v>56</v>
      </c>
      <c r="N404" s="1" t="s">
        <v>104</v>
      </c>
      <c r="O404" s="1" t="s">
        <v>391</v>
      </c>
      <c r="P404" s="1" t="s">
        <v>341</v>
      </c>
    </row>
    <row r="405" spans="13:16" x14ac:dyDescent="0.25">
      <c r="M405" s="1" t="s">
        <v>56</v>
      </c>
      <c r="N405" s="1" t="s">
        <v>104</v>
      </c>
      <c r="O405" s="1" t="s">
        <v>390</v>
      </c>
      <c r="P405" s="1" t="s">
        <v>341</v>
      </c>
    </row>
    <row r="406" spans="13:16" x14ac:dyDescent="0.25">
      <c r="M406" s="1" t="s">
        <v>52</v>
      </c>
      <c r="N406" s="1" t="s">
        <v>391</v>
      </c>
      <c r="O406" s="1" t="s">
        <v>391</v>
      </c>
      <c r="P406" s="1" t="s">
        <v>341</v>
      </c>
    </row>
    <row r="407" spans="13:16" x14ac:dyDescent="0.25">
      <c r="M407" s="1" t="s">
        <v>73</v>
      </c>
      <c r="N407" s="1" t="s">
        <v>199</v>
      </c>
      <c r="O407" s="1" t="s">
        <v>199</v>
      </c>
      <c r="P407" s="1" t="s">
        <v>341</v>
      </c>
    </row>
    <row r="408" spans="13:16" x14ac:dyDescent="0.25">
      <c r="M408" s="1" t="s">
        <v>54</v>
      </c>
      <c r="N408" s="1" t="s">
        <v>196</v>
      </c>
      <c r="O408" s="1" t="s">
        <v>199</v>
      </c>
      <c r="P408" s="1" t="s">
        <v>341</v>
      </c>
    </row>
    <row r="409" spans="13:16" x14ac:dyDescent="0.25">
      <c r="M409" s="1" t="s">
        <v>54</v>
      </c>
      <c r="N409" s="1" t="s">
        <v>196</v>
      </c>
      <c r="O409" s="1" t="s">
        <v>200</v>
      </c>
      <c r="P409" s="1" t="s">
        <v>341</v>
      </c>
    </row>
    <row r="410" spans="13:16" x14ac:dyDescent="0.25">
      <c r="M410" s="1" t="s">
        <v>54</v>
      </c>
      <c r="N410" s="1" t="s">
        <v>196</v>
      </c>
      <c r="O410" s="1" t="s">
        <v>201</v>
      </c>
      <c r="P410" s="1" t="s">
        <v>341</v>
      </c>
    </row>
    <row r="411" spans="13:16" x14ac:dyDescent="0.25">
      <c r="M411" s="1" t="s">
        <v>52</v>
      </c>
      <c r="N411" s="1" t="s">
        <v>71</v>
      </c>
      <c r="O411" s="1" t="s">
        <v>391</v>
      </c>
      <c r="P411" s="1" t="s">
        <v>341</v>
      </c>
    </row>
    <row r="412" spans="13:16" x14ac:dyDescent="0.25">
      <c r="M412" s="1" t="s">
        <v>52</v>
      </c>
      <c r="N412" s="1" t="s">
        <v>71</v>
      </c>
      <c r="O412" s="1" t="s">
        <v>390</v>
      </c>
      <c r="P412" s="1" t="s">
        <v>341</v>
      </c>
    </row>
  </sheetData>
  <sheetProtection password="CF98" sheet="1" objects="1" scenarios="1"/>
  <autoFilter ref="P1:P412"/>
  <sortState ref="M3:P337">
    <sortCondition ref="N3:N337"/>
  </sortState>
  <mergeCells count="8">
    <mergeCell ref="A3:A7"/>
    <mergeCell ref="A8:A11"/>
    <mergeCell ref="T1:W1"/>
    <mergeCell ref="A1:A2"/>
    <mergeCell ref="B1:C1"/>
    <mergeCell ref="M1:O1"/>
    <mergeCell ref="D1:F1"/>
    <mergeCell ref="H1:I1"/>
  </mergeCells>
  <printOptions horizontalCentered="1"/>
  <pageMargins left="0.70866141732283472" right="0.70866141732283472" top="0.74803149606299213" bottom="0.74803149606299213" header="0" footer="0"/>
  <pageSetup paperSize="9" scale="41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1">
    <tabColor theme="0" tint="-0.499984740745262"/>
  </sheetPr>
  <dimension ref="A1:V20"/>
  <sheetViews>
    <sheetView workbookViewId="0">
      <selection activeCell="S2" sqref="S2"/>
    </sheetView>
  </sheetViews>
  <sheetFormatPr defaultRowHeight="15" x14ac:dyDescent="0.25"/>
  <cols>
    <col min="1" max="1" width="15" bestFit="1" customWidth="1"/>
    <col min="3" max="3" width="31.7109375" bestFit="1" customWidth="1"/>
    <col min="4" max="4" width="15.85546875" bestFit="1" customWidth="1"/>
    <col min="5" max="5" width="14.28515625" bestFit="1" customWidth="1"/>
    <col min="6" max="6" width="10.85546875" customWidth="1"/>
    <col min="7" max="8" width="19.85546875" customWidth="1"/>
    <col min="9" max="9" width="11.5703125" customWidth="1"/>
    <col min="10" max="11" width="11.42578125" customWidth="1"/>
    <col min="13" max="15" width="14.140625" customWidth="1"/>
    <col min="17" max="17" width="11.5703125" customWidth="1"/>
    <col min="22" max="22" width="19.5703125" customWidth="1"/>
  </cols>
  <sheetData>
    <row r="1" spans="1:22" s="2" customFormat="1" ht="39" customHeight="1" x14ac:dyDescent="0.25">
      <c r="A1" s="6" t="s">
        <v>10</v>
      </c>
      <c r="C1" s="6" t="s">
        <v>18</v>
      </c>
      <c r="D1" s="6" t="s">
        <v>456</v>
      </c>
      <c r="E1" s="6" t="s">
        <v>276</v>
      </c>
      <c r="F1" s="162"/>
      <c r="G1" t="s">
        <v>274</v>
      </c>
      <c r="H1" t="s">
        <v>674</v>
      </c>
      <c r="I1" t="s">
        <v>275</v>
      </c>
      <c r="J1" t="s">
        <v>269</v>
      </c>
      <c r="K1" t="s">
        <v>315</v>
      </c>
      <c r="M1" s="6" t="s">
        <v>26</v>
      </c>
      <c r="N1" s="6" t="s">
        <v>26</v>
      </c>
      <c r="O1" s="6" t="s">
        <v>26</v>
      </c>
      <c r="Q1" s="6" t="s">
        <v>213</v>
      </c>
      <c r="S1" s="6" t="s">
        <v>212</v>
      </c>
      <c r="V1" s="6" t="s">
        <v>125</v>
      </c>
    </row>
    <row r="2" spans="1:22" x14ac:dyDescent="0.25">
      <c r="C2" t="s">
        <v>274</v>
      </c>
      <c r="D2" t="s">
        <v>378</v>
      </c>
      <c r="E2" t="s">
        <v>277</v>
      </c>
      <c r="G2" s="161">
        <v>1.2</v>
      </c>
      <c r="H2" s="161">
        <v>1.1499999999999999</v>
      </c>
      <c r="I2" s="161">
        <v>1</v>
      </c>
      <c r="J2" s="161">
        <v>1</v>
      </c>
      <c r="K2" s="175">
        <v>1.25</v>
      </c>
      <c r="M2" t="s">
        <v>27</v>
      </c>
      <c r="N2" t="s">
        <v>28</v>
      </c>
      <c r="O2" t="s">
        <v>31</v>
      </c>
      <c r="Q2" t="s">
        <v>214</v>
      </c>
      <c r="S2" t="s">
        <v>216</v>
      </c>
      <c r="V2" s="59">
        <v>45292</v>
      </c>
    </row>
    <row r="3" spans="1:22" x14ac:dyDescent="0.25">
      <c r="A3" s="4"/>
      <c r="C3" t="s">
        <v>674</v>
      </c>
      <c r="D3" t="s">
        <v>379</v>
      </c>
      <c r="E3" t="s">
        <v>278</v>
      </c>
      <c r="G3" s="161">
        <f>G2-0.05</f>
        <v>1.1499999999999999</v>
      </c>
      <c r="H3" s="175">
        <v>1.0999999999999999</v>
      </c>
      <c r="K3" s="161">
        <v>1.2</v>
      </c>
      <c r="M3" t="s">
        <v>29</v>
      </c>
      <c r="N3" t="s">
        <v>30</v>
      </c>
      <c r="O3" t="s">
        <v>32</v>
      </c>
      <c r="Q3" t="s">
        <v>215</v>
      </c>
      <c r="S3" t="s">
        <v>210</v>
      </c>
      <c r="V3" s="59">
        <v>45293</v>
      </c>
    </row>
    <row r="4" spans="1:22" s="3" customFormat="1" x14ac:dyDescent="0.25">
      <c r="A4" t="s">
        <v>436</v>
      </c>
      <c r="C4" t="s">
        <v>275</v>
      </c>
      <c r="D4" t="s">
        <v>451</v>
      </c>
      <c r="E4" t="s">
        <v>279</v>
      </c>
      <c r="F4"/>
      <c r="G4" s="161">
        <f>G3-0.05</f>
        <v>1.0999999999999999</v>
      </c>
      <c r="H4" s="175">
        <v>1.0499999999999998</v>
      </c>
      <c r="I4"/>
      <c r="J4"/>
      <c r="K4" s="161">
        <f>K3-0.05</f>
        <v>1.1499999999999999</v>
      </c>
      <c r="M4" s="4" t="s">
        <v>77</v>
      </c>
      <c r="N4" s="4" t="s">
        <v>77</v>
      </c>
      <c r="O4" s="4" t="s">
        <v>77</v>
      </c>
      <c r="V4" s="60">
        <v>45294</v>
      </c>
    </row>
    <row r="5" spans="1:22" s="3" customFormat="1" x14ac:dyDescent="0.25">
      <c r="A5" s="5" t="s">
        <v>34</v>
      </c>
      <c r="B5"/>
      <c r="C5" t="s">
        <v>315</v>
      </c>
      <c r="D5" t="s">
        <v>380</v>
      </c>
      <c r="E5"/>
      <c r="F5"/>
      <c r="G5" s="161">
        <f>G4-0.05</f>
        <v>1.0499999999999998</v>
      </c>
      <c r="H5" s="175">
        <v>0.99999999999999978</v>
      </c>
      <c r="I5"/>
      <c r="J5"/>
      <c r="K5" s="161">
        <f>K4-0.05</f>
        <v>1.0999999999999999</v>
      </c>
      <c r="V5" s="60">
        <v>45295</v>
      </c>
    </row>
    <row r="6" spans="1:22" ht="15" customHeight="1" x14ac:dyDescent="0.25">
      <c r="A6" s="5"/>
      <c r="C6" t="s">
        <v>269</v>
      </c>
      <c r="D6" t="s">
        <v>457</v>
      </c>
      <c r="G6" s="161">
        <f>G5-0.05</f>
        <v>0.99999999999999978</v>
      </c>
      <c r="H6" s="175"/>
      <c r="K6" s="161">
        <f>K5-0.05</f>
        <v>1.0499999999999998</v>
      </c>
      <c r="V6" s="59">
        <v>45296</v>
      </c>
    </row>
    <row r="7" spans="1:22" x14ac:dyDescent="0.25">
      <c r="A7" s="5"/>
      <c r="G7" s="176"/>
      <c r="H7" s="175"/>
      <c r="K7" s="161">
        <f>K6-0.05</f>
        <v>0.99999999999999978</v>
      </c>
      <c r="V7" s="59">
        <v>45297</v>
      </c>
    </row>
    <row r="8" spans="1:22" x14ac:dyDescent="0.25">
      <c r="V8" s="59">
        <v>45298</v>
      </c>
    </row>
    <row r="9" spans="1:22" x14ac:dyDescent="0.25">
      <c r="V9" s="59">
        <v>45299</v>
      </c>
    </row>
    <row r="10" spans="1:22" x14ac:dyDescent="0.25">
      <c r="V10" s="59">
        <v>45345</v>
      </c>
    </row>
    <row r="11" spans="1:22" x14ac:dyDescent="0.25">
      <c r="V11" s="59">
        <v>45359</v>
      </c>
    </row>
    <row r="12" spans="1:22" x14ac:dyDescent="0.25">
      <c r="V12" s="59">
        <v>45411</v>
      </c>
    </row>
    <row r="13" spans="1:22" x14ac:dyDescent="0.25">
      <c r="V13" s="59">
        <v>45412</v>
      </c>
    </row>
    <row r="14" spans="1:22" x14ac:dyDescent="0.25">
      <c r="V14" s="59">
        <v>45413</v>
      </c>
    </row>
    <row r="15" spans="1:22" x14ac:dyDescent="0.25">
      <c r="V15" s="59">
        <v>45421</v>
      </c>
    </row>
    <row r="16" spans="1:22" x14ac:dyDescent="0.25">
      <c r="V16" s="59">
        <v>45422</v>
      </c>
    </row>
    <row r="17" spans="22:22" x14ac:dyDescent="0.25">
      <c r="V17" s="59">
        <v>45455</v>
      </c>
    </row>
    <row r="18" spans="22:22" x14ac:dyDescent="0.25">
      <c r="V18" s="59">
        <v>45600</v>
      </c>
    </row>
    <row r="19" spans="22:22" x14ac:dyDescent="0.25">
      <c r="V19" s="59">
        <v>45656</v>
      </c>
    </row>
    <row r="20" spans="22:22" x14ac:dyDescent="0.25">
      <c r="V20" s="48">
        <v>45657</v>
      </c>
    </row>
  </sheetData>
  <sheetProtection password="CF98" sheet="1" objects="1" scenarios="1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0" tint="-0.499984740745262"/>
  </sheetPr>
  <dimension ref="A1:CP8"/>
  <sheetViews>
    <sheetView workbookViewId="0">
      <selection activeCell="CC19" sqref="CC19"/>
    </sheetView>
  </sheetViews>
  <sheetFormatPr defaultRowHeight="15" x14ac:dyDescent="0.25"/>
  <cols>
    <col min="1" max="3" width="29.140625" style="1" bestFit="1" customWidth="1"/>
    <col min="4" max="4" width="33.7109375" style="1" customWidth="1"/>
    <col min="5" max="5" width="29.140625" style="1" bestFit="1" customWidth="1"/>
    <col min="6" max="6" width="35.7109375" style="1" customWidth="1"/>
    <col min="7" max="7" width="35.85546875" style="1" customWidth="1"/>
    <col min="8" max="8" width="38.140625" style="1" customWidth="1"/>
    <col min="9" max="9" width="29.140625" style="1" bestFit="1" customWidth="1"/>
    <col min="10" max="10" width="33.5703125" style="1" customWidth="1"/>
    <col min="11" max="11" width="29.140625" style="1" bestFit="1" customWidth="1"/>
    <col min="12" max="12" width="35.85546875" style="1" customWidth="1"/>
    <col min="13" max="13" width="36" style="1" customWidth="1"/>
    <col min="14" max="14" width="38.28515625" style="1" customWidth="1"/>
    <col min="15" max="15" width="44.28515625" style="1" customWidth="1"/>
    <col min="16" max="16" width="44.42578125" style="1" customWidth="1"/>
    <col min="17" max="17" width="46.7109375" style="1" customWidth="1"/>
    <col min="18" max="18" width="42.42578125" style="1" customWidth="1"/>
    <col min="19" max="19" width="42.5703125" style="1" customWidth="1"/>
    <col min="20" max="20" width="44.85546875" style="1" customWidth="1"/>
    <col min="21" max="21" width="41" style="1" customWidth="1"/>
    <col min="22" max="22" width="41.140625" style="1" customWidth="1"/>
    <col min="23" max="23" width="43.42578125" style="1" customWidth="1"/>
    <col min="24" max="24" width="39.140625" style="1" customWidth="1"/>
    <col min="25" max="25" width="39.28515625" style="1" customWidth="1"/>
    <col min="26" max="26" width="41.5703125" style="1" customWidth="1"/>
    <col min="27" max="27" width="29.140625" style="1" bestFit="1" customWidth="1"/>
    <col min="28" max="28" width="40.28515625" style="1" customWidth="1"/>
    <col min="29" max="29" width="40.42578125" style="1" customWidth="1"/>
    <col min="30" max="30" width="42.7109375" style="1" customWidth="1"/>
    <col min="31" max="31" width="44.42578125" style="1" customWidth="1"/>
    <col min="32" max="32" width="44.5703125" style="1" customWidth="1"/>
    <col min="33" max="33" width="46.85546875" style="1" customWidth="1"/>
    <col min="34" max="34" width="56.85546875" style="1" customWidth="1"/>
    <col min="35" max="35" width="57" style="1" customWidth="1"/>
    <col min="36" max="36" width="59.28515625" style="1" customWidth="1"/>
    <col min="37" max="37" width="52.85546875" style="1" customWidth="1"/>
    <col min="38" max="38" width="53" style="1" customWidth="1"/>
    <col min="39" max="42" width="55.28515625" style="1" customWidth="1"/>
    <col min="43" max="43" width="55.5703125" style="1" customWidth="1"/>
    <col min="44" max="44" width="55.7109375" style="1" customWidth="1"/>
    <col min="45" max="45" width="58" style="1" customWidth="1"/>
    <col min="46" max="46" width="53.7109375" style="1" customWidth="1"/>
    <col min="47" max="47" width="53.85546875" style="1" customWidth="1"/>
    <col min="48" max="48" width="56.140625" style="1" customWidth="1"/>
    <col min="49" max="49" width="54.5703125" style="1" customWidth="1"/>
    <col min="50" max="50" width="54.7109375" style="1" customWidth="1"/>
    <col min="51" max="51" width="57" style="1" customWidth="1"/>
    <col min="52" max="52" width="58.7109375" style="1" customWidth="1"/>
    <col min="53" max="53" width="55" style="1" customWidth="1"/>
    <col min="54" max="54" width="55.140625" style="1" customWidth="1"/>
    <col min="55" max="55" width="57.42578125" style="1" customWidth="1"/>
    <col min="56" max="56" width="50.42578125" style="1" customWidth="1"/>
    <col min="57" max="57" width="55.28515625" style="1" customWidth="1"/>
    <col min="58" max="58" width="59.85546875" style="1" customWidth="1"/>
    <col min="59" max="59" width="60" style="1" customWidth="1"/>
    <col min="60" max="60" width="62.28515625" style="1" customWidth="1"/>
    <col min="61" max="61" width="53.42578125" style="1" customWidth="1"/>
    <col min="62" max="62" width="29.140625" style="1" bestFit="1" customWidth="1"/>
    <col min="63" max="63" width="28.28515625" style="1" customWidth="1"/>
    <col min="64" max="64" width="34.28515625" style="1" customWidth="1"/>
    <col min="65" max="65" width="29.140625" style="1" bestFit="1" customWidth="1"/>
    <col min="66" max="66" width="23.85546875" style="1" customWidth="1"/>
    <col min="67" max="67" width="36" style="1" customWidth="1"/>
    <col min="68" max="68" width="40.85546875" style="1" customWidth="1"/>
    <col min="69" max="69" width="46.85546875" style="1" customWidth="1"/>
    <col min="70" max="70" width="47" style="1" customWidth="1"/>
    <col min="71" max="71" width="49.28515625" style="1" customWidth="1"/>
    <col min="72" max="72" width="68.85546875" style="1" customWidth="1"/>
    <col min="73" max="73" width="69" style="1" customWidth="1"/>
    <col min="74" max="74" width="71.28515625" style="1" customWidth="1"/>
    <col min="75" max="75" width="47.140625" style="1" customWidth="1"/>
    <col min="76" max="78" width="29.140625" style="1" bestFit="1" customWidth="1"/>
    <col min="79" max="81" width="43.7109375" style="1" customWidth="1"/>
    <col min="82" max="84" width="41.7109375" style="1" customWidth="1"/>
    <col min="85" max="85" width="46.140625" style="1" customWidth="1"/>
    <col min="86" max="86" width="46.28515625" style="1" customWidth="1"/>
    <col min="87" max="87" width="48.5703125" style="1" customWidth="1"/>
    <col min="88" max="88" width="39.7109375" style="1" customWidth="1"/>
    <col min="89" max="90" width="29.140625" style="1" bestFit="1" customWidth="1"/>
    <col min="91" max="91" width="26.28515625" style="1" customWidth="1"/>
    <col min="92" max="92" width="33.7109375" style="1" customWidth="1"/>
    <col min="93" max="93" width="29.140625" style="1" bestFit="1" customWidth="1"/>
    <col min="94" max="94" width="24.28515625" style="1" bestFit="1" customWidth="1"/>
    <col min="95" max="16384" width="9.140625" style="1"/>
  </cols>
  <sheetData>
    <row r="1" spans="1:94" x14ac:dyDescent="0.25">
      <c r="A1" s="1" t="s">
        <v>128</v>
      </c>
      <c r="B1" s="1" t="s">
        <v>93</v>
      </c>
      <c r="C1" s="1" t="s">
        <v>207</v>
      </c>
      <c r="D1" s="1" t="s">
        <v>198</v>
      </c>
      <c r="E1" s="1" t="s">
        <v>206</v>
      </c>
      <c r="F1" s="1" t="s">
        <v>368</v>
      </c>
      <c r="G1" s="1" t="s">
        <v>342</v>
      </c>
      <c r="H1" s="1" t="s">
        <v>343</v>
      </c>
      <c r="I1" s="1" t="s">
        <v>205</v>
      </c>
      <c r="J1" s="1" t="s">
        <v>197</v>
      </c>
      <c r="K1" s="1" t="s">
        <v>204</v>
      </c>
      <c r="L1" s="1" t="s">
        <v>369</v>
      </c>
      <c r="M1" s="1" t="s">
        <v>325</v>
      </c>
      <c r="N1" s="1" t="s">
        <v>334</v>
      </c>
      <c r="O1" s="1" t="s">
        <v>370</v>
      </c>
      <c r="P1" s="1" t="s">
        <v>330</v>
      </c>
      <c r="Q1" s="1" t="s">
        <v>339</v>
      </c>
      <c r="R1" s="1" t="s">
        <v>371</v>
      </c>
      <c r="S1" s="1" t="s">
        <v>328</v>
      </c>
      <c r="T1" s="1" t="s">
        <v>337</v>
      </c>
      <c r="U1" s="1" t="s">
        <v>372</v>
      </c>
      <c r="V1" s="1" t="s">
        <v>331</v>
      </c>
      <c r="W1" s="1" t="s">
        <v>340</v>
      </c>
      <c r="X1" s="1" t="s">
        <v>373</v>
      </c>
      <c r="Y1" s="1" t="s">
        <v>329</v>
      </c>
      <c r="Z1" s="1" t="s">
        <v>338</v>
      </c>
      <c r="AA1" s="1" t="s">
        <v>58</v>
      </c>
      <c r="AB1" s="1" t="s">
        <v>374</v>
      </c>
      <c r="AC1" s="1" t="s">
        <v>326</v>
      </c>
      <c r="AD1" s="1" t="s">
        <v>335</v>
      </c>
      <c r="AE1" s="1" t="s">
        <v>375</v>
      </c>
      <c r="AF1" s="1" t="s">
        <v>327</v>
      </c>
      <c r="AG1" s="1" t="s">
        <v>336</v>
      </c>
      <c r="AH1" s="1" t="s">
        <v>521</v>
      </c>
      <c r="AI1" s="1" t="s">
        <v>519</v>
      </c>
      <c r="AJ1" s="1" t="s">
        <v>522</v>
      </c>
      <c r="AK1" s="1" t="s">
        <v>655</v>
      </c>
      <c r="AL1" s="1" t="s">
        <v>656</v>
      </c>
      <c r="AM1" s="1" t="s">
        <v>657</v>
      </c>
      <c r="AN1" s="1" t="s">
        <v>658</v>
      </c>
      <c r="AO1" s="1" t="s">
        <v>659</v>
      </c>
      <c r="AP1" s="1" t="s">
        <v>660</v>
      </c>
      <c r="AQ1" s="1" t="s">
        <v>376</v>
      </c>
      <c r="AR1" s="1" t="s">
        <v>324</v>
      </c>
      <c r="AS1" s="1" t="s">
        <v>333</v>
      </c>
      <c r="AT1" s="1" t="s">
        <v>377</v>
      </c>
      <c r="AU1" s="1" t="s">
        <v>323</v>
      </c>
      <c r="AV1" s="1" t="s">
        <v>332</v>
      </c>
      <c r="AW1" s="1" t="s">
        <v>512</v>
      </c>
      <c r="AX1" s="1" t="s">
        <v>502</v>
      </c>
      <c r="AY1" s="1" t="s">
        <v>506</v>
      </c>
      <c r="AZ1" s="1" t="s">
        <v>515</v>
      </c>
      <c r="BA1" s="1" t="s">
        <v>510</v>
      </c>
      <c r="BB1" s="1" t="s">
        <v>500</v>
      </c>
      <c r="BC1" s="1" t="s">
        <v>504</v>
      </c>
      <c r="BD1" s="1" t="s">
        <v>516</v>
      </c>
      <c r="BE1" s="1" t="s">
        <v>513</v>
      </c>
      <c r="BF1" s="1" t="s">
        <v>661</v>
      </c>
      <c r="BG1" s="1" t="s">
        <v>662</v>
      </c>
      <c r="BH1" s="1" t="s">
        <v>663</v>
      </c>
      <c r="BI1" s="1" t="s">
        <v>514</v>
      </c>
      <c r="BJ1" s="1" t="s">
        <v>105</v>
      </c>
      <c r="BK1" s="1" t="s">
        <v>390</v>
      </c>
      <c r="BL1" s="1" t="s">
        <v>201</v>
      </c>
      <c r="BM1" s="1" t="s">
        <v>203</v>
      </c>
      <c r="BN1" s="1" t="s">
        <v>200</v>
      </c>
      <c r="BO1" s="1" t="s">
        <v>518</v>
      </c>
      <c r="BP1" s="1" t="s">
        <v>507</v>
      </c>
      <c r="BQ1" s="1" t="s">
        <v>509</v>
      </c>
      <c r="BR1" s="1" t="s">
        <v>499</v>
      </c>
      <c r="BS1" s="1" t="s">
        <v>503</v>
      </c>
      <c r="BT1" s="1" t="s">
        <v>511</v>
      </c>
      <c r="BU1" s="1" t="s">
        <v>501</v>
      </c>
      <c r="BV1" s="1" t="s">
        <v>505</v>
      </c>
      <c r="BW1" s="1" t="s">
        <v>520</v>
      </c>
      <c r="BX1" s="1" t="s">
        <v>498</v>
      </c>
      <c r="BY1" s="1" t="s">
        <v>68</v>
      </c>
      <c r="BZ1" s="1" t="s">
        <v>67</v>
      </c>
      <c r="CA1" s="1" t="s">
        <v>524</v>
      </c>
      <c r="CB1" s="1" t="s">
        <v>664</v>
      </c>
      <c r="CC1" s="1" t="s">
        <v>665</v>
      </c>
      <c r="CD1" s="1" t="s">
        <v>523</v>
      </c>
      <c r="CE1" s="1" t="s">
        <v>666</v>
      </c>
      <c r="CF1" s="1" t="s">
        <v>667</v>
      </c>
      <c r="CG1" s="1" t="s">
        <v>652</v>
      </c>
      <c r="CH1" s="1" t="s">
        <v>653</v>
      </c>
      <c r="CI1" s="1" t="s">
        <v>654</v>
      </c>
      <c r="CJ1" s="1" t="s">
        <v>508</v>
      </c>
      <c r="CK1" s="1" t="s">
        <v>106</v>
      </c>
      <c r="CL1" s="1" t="s">
        <v>104</v>
      </c>
      <c r="CM1" s="1" t="s">
        <v>391</v>
      </c>
      <c r="CN1" s="1" t="s">
        <v>199</v>
      </c>
      <c r="CO1" s="1" t="s">
        <v>196</v>
      </c>
      <c r="CP1" s="1" t="s">
        <v>71</v>
      </c>
    </row>
    <row r="2" spans="1:94" x14ac:dyDescent="0.25">
      <c r="A2" s="1" t="s">
        <v>391</v>
      </c>
      <c r="B2" s="1" t="s">
        <v>201</v>
      </c>
      <c r="C2" s="1" t="s">
        <v>201</v>
      </c>
      <c r="D2" s="1" t="s">
        <v>198</v>
      </c>
      <c r="E2" s="1" t="s">
        <v>201</v>
      </c>
      <c r="F2" s="1" t="s">
        <v>201</v>
      </c>
      <c r="G2" s="1" t="s">
        <v>197</v>
      </c>
      <c r="H2" s="1" t="s">
        <v>198</v>
      </c>
      <c r="I2" s="1" t="s">
        <v>201</v>
      </c>
      <c r="J2" s="1" t="s">
        <v>197</v>
      </c>
      <c r="K2" s="1" t="s">
        <v>201</v>
      </c>
      <c r="L2" s="1" t="s">
        <v>201</v>
      </c>
      <c r="M2" s="1" t="s">
        <v>197</v>
      </c>
      <c r="N2" s="1" t="s">
        <v>198</v>
      </c>
      <c r="O2" s="1" t="s">
        <v>201</v>
      </c>
      <c r="P2" s="1" t="s">
        <v>197</v>
      </c>
      <c r="Q2" s="1" t="s">
        <v>198</v>
      </c>
      <c r="R2" s="1" t="s">
        <v>201</v>
      </c>
      <c r="S2" s="1" t="s">
        <v>197</v>
      </c>
      <c r="T2" s="1" t="s">
        <v>198</v>
      </c>
      <c r="U2" s="1" t="s">
        <v>201</v>
      </c>
      <c r="V2" s="1" t="s">
        <v>197</v>
      </c>
      <c r="W2" s="1" t="s">
        <v>198</v>
      </c>
      <c r="X2" s="1" t="s">
        <v>201</v>
      </c>
      <c r="Y2" s="1" t="s">
        <v>197</v>
      </c>
      <c r="Z2" s="1" t="s">
        <v>198</v>
      </c>
      <c r="AA2" s="1" t="s">
        <v>198</v>
      </c>
      <c r="AB2" s="1" t="s">
        <v>201</v>
      </c>
      <c r="AC2" s="1" t="s">
        <v>197</v>
      </c>
      <c r="AD2" s="1" t="s">
        <v>198</v>
      </c>
      <c r="AE2" s="1" t="s">
        <v>201</v>
      </c>
      <c r="AF2" s="1" t="s">
        <v>197</v>
      </c>
      <c r="AG2" s="1" t="s">
        <v>198</v>
      </c>
      <c r="AH2" s="1" t="s">
        <v>201</v>
      </c>
      <c r="AI2" s="1" t="s">
        <v>197</v>
      </c>
      <c r="AJ2" s="1" t="s">
        <v>198</v>
      </c>
      <c r="AK2" s="1" t="s">
        <v>201</v>
      </c>
      <c r="AL2" s="1" t="s">
        <v>197</v>
      </c>
      <c r="AM2" s="1" t="s">
        <v>198</v>
      </c>
      <c r="AN2" s="1" t="s">
        <v>201</v>
      </c>
      <c r="AO2" s="1" t="s">
        <v>197</v>
      </c>
      <c r="AP2" s="1" t="s">
        <v>198</v>
      </c>
      <c r="AQ2" s="1" t="s">
        <v>201</v>
      </c>
      <c r="AR2" s="1" t="s">
        <v>197</v>
      </c>
      <c r="AS2" s="1" t="s">
        <v>198</v>
      </c>
      <c r="AT2" s="1" t="s">
        <v>201</v>
      </c>
      <c r="AU2" s="1" t="s">
        <v>197</v>
      </c>
      <c r="AV2" s="1" t="s">
        <v>198</v>
      </c>
      <c r="AW2" s="1" t="s">
        <v>201</v>
      </c>
      <c r="AX2" s="1" t="s">
        <v>197</v>
      </c>
      <c r="AY2" s="1" t="s">
        <v>198</v>
      </c>
      <c r="AZ2" s="1" t="s">
        <v>201</v>
      </c>
      <c r="BA2" s="1" t="s">
        <v>201</v>
      </c>
      <c r="BB2" s="1" t="s">
        <v>197</v>
      </c>
      <c r="BC2" s="1" t="s">
        <v>198</v>
      </c>
      <c r="BD2" s="1" t="s">
        <v>201</v>
      </c>
      <c r="BE2" s="1" t="s">
        <v>201</v>
      </c>
      <c r="BF2" s="1" t="s">
        <v>201</v>
      </c>
      <c r="BG2" s="1" t="s">
        <v>197</v>
      </c>
      <c r="BH2" s="1" t="s">
        <v>198</v>
      </c>
      <c r="BI2" s="1" t="s">
        <v>201</v>
      </c>
      <c r="BJ2" s="1" t="s">
        <v>201</v>
      </c>
      <c r="BK2" s="1" t="s">
        <v>390</v>
      </c>
      <c r="BL2" s="1" t="s">
        <v>201</v>
      </c>
      <c r="BM2" s="1" t="s">
        <v>197</v>
      </c>
      <c r="BN2" s="1" t="s">
        <v>200</v>
      </c>
      <c r="BO2" s="1" t="s">
        <v>201</v>
      </c>
      <c r="BP2" s="1" t="s">
        <v>201</v>
      </c>
      <c r="BQ2" s="1" t="s">
        <v>201</v>
      </c>
      <c r="BR2" s="1" t="s">
        <v>197</v>
      </c>
      <c r="BS2" s="1" t="s">
        <v>198</v>
      </c>
      <c r="BT2" s="1" t="s">
        <v>201</v>
      </c>
      <c r="BU2" s="1" t="s">
        <v>197</v>
      </c>
      <c r="BV2" s="1" t="s">
        <v>198</v>
      </c>
      <c r="BW2" s="1" t="s">
        <v>201</v>
      </c>
      <c r="BX2" s="1" t="s">
        <v>197</v>
      </c>
      <c r="BY2" s="1" t="s">
        <v>200</v>
      </c>
      <c r="BZ2" s="1" t="s">
        <v>197</v>
      </c>
      <c r="CA2" s="1" t="s">
        <v>201</v>
      </c>
      <c r="CB2" s="1" t="s">
        <v>197</v>
      </c>
      <c r="CC2" s="1" t="s">
        <v>198</v>
      </c>
      <c r="CD2" s="1" t="s">
        <v>201</v>
      </c>
      <c r="CE2" s="1" t="s">
        <v>197</v>
      </c>
      <c r="CF2" s="1" t="s">
        <v>198</v>
      </c>
      <c r="CG2" s="1" t="s">
        <v>201</v>
      </c>
      <c r="CH2" s="1" t="s">
        <v>197</v>
      </c>
      <c r="CI2" s="1" t="s">
        <v>198</v>
      </c>
      <c r="CJ2" s="1" t="s">
        <v>201</v>
      </c>
      <c r="CK2" s="1" t="s">
        <v>201</v>
      </c>
      <c r="CL2" s="1" t="s">
        <v>201</v>
      </c>
      <c r="CM2" s="1" t="s">
        <v>391</v>
      </c>
      <c r="CN2" s="1" t="s">
        <v>199</v>
      </c>
      <c r="CO2" s="1" t="s">
        <v>199</v>
      </c>
      <c r="CP2" s="1" t="s">
        <v>391</v>
      </c>
    </row>
    <row r="3" spans="1:94" x14ac:dyDescent="0.25">
      <c r="A3" s="1" t="s">
        <v>390</v>
      </c>
      <c r="C3" s="1" t="s">
        <v>391</v>
      </c>
      <c r="E3" s="1" t="s">
        <v>391</v>
      </c>
      <c r="F3" s="1" t="s">
        <v>391</v>
      </c>
      <c r="G3" s="1" t="s">
        <v>198</v>
      </c>
      <c r="H3" s="1" t="s">
        <v>199</v>
      </c>
      <c r="I3" s="1" t="s">
        <v>391</v>
      </c>
      <c r="K3" s="1" t="s">
        <v>391</v>
      </c>
      <c r="M3" s="1" t="s">
        <v>198</v>
      </c>
      <c r="N3" s="1" t="s">
        <v>199</v>
      </c>
      <c r="O3" s="1" t="s">
        <v>391</v>
      </c>
      <c r="P3" s="1" t="s">
        <v>198</v>
      </c>
      <c r="Q3" s="1" t="s">
        <v>199</v>
      </c>
      <c r="R3" s="1" t="s">
        <v>391</v>
      </c>
      <c r="S3" s="1" t="s">
        <v>198</v>
      </c>
      <c r="T3" s="1" t="s">
        <v>199</v>
      </c>
      <c r="U3" s="1" t="s">
        <v>391</v>
      </c>
      <c r="V3" s="1" t="s">
        <v>198</v>
      </c>
      <c r="W3" s="1" t="s">
        <v>199</v>
      </c>
      <c r="X3" s="1" t="s">
        <v>391</v>
      </c>
      <c r="Y3" s="1" t="s">
        <v>198</v>
      </c>
      <c r="Z3" s="1" t="s">
        <v>199</v>
      </c>
      <c r="AA3" s="1" t="s">
        <v>199</v>
      </c>
      <c r="AC3" s="1" t="s">
        <v>198</v>
      </c>
      <c r="AD3" s="1" t="s">
        <v>199</v>
      </c>
      <c r="AE3" s="1" t="s">
        <v>391</v>
      </c>
      <c r="AF3" s="1" t="s">
        <v>198</v>
      </c>
      <c r="AG3" s="1" t="s">
        <v>199</v>
      </c>
      <c r="AH3" s="1" t="s">
        <v>391</v>
      </c>
      <c r="AI3" s="1" t="s">
        <v>198</v>
      </c>
      <c r="AJ3" s="1" t="s">
        <v>199</v>
      </c>
      <c r="AK3" s="1" t="s">
        <v>391</v>
      </c>
      <c r="AL3" s="1" t="s">
        <v>198</v>
      </c>
      <c r="AM3" s="1" t="s">
        <v>199</v>
      </c>
      <c r="AN3" s="1" t="s">
        <v>391</v>
      </c>
      <c r="AO3" s="1" t="s">
        <v>198</v>
      </c>
      <c r="AP3" s="1" t="s">
        <v>199</v>
      </c>
      <c r="AQ3" s="1" t="s">
        <v>391</v>
      </c>
      <c r="AR3" s="1" t="s">
        <v>198</v>
      </c>
      <c r="AS3" s="1" t="s">
        <v>199</v>
      </c>
      <c r="AT3" s="1" t="s">
        <v>391</v>
      </c>
      <c r="AU3" s="1" t="s">
        <v>198</v>
      </c>
      <c r="AV3" s="1" t="s">
        <v>199</v>
      </c>
      <c r="AW3" s="1" t="s">
        <v>391</v>
      </c>
      <c r="AX3" s="1" t="s">
        <v>198</v>
      </c>
      <c r="AY3" s="1" t="s">
        <v>199</v>
      </c>
      <c r="AZ3" s="1" t="s">
        <v>391</v>
      </c>
      <c r="BA3" s="1" t="s">
        <v>391</v>
      </c>
      <c r="BB3" s="1" t="s">
        <v>198</v>
      </c>
      <c r="BC3" s="1" t="s">
        <v>199</v>
      </c>
      <c r="BD3" s="1" t="s">
        <v>391</v>
      </c>
      <c r="BE3" s="1" t="s">
        <v>391</v>
      </c>
      <c r="BF3" s="1" t="s">
        <v>391</v>
      </c>
      <c r="BG3" s="1" t="s">
        <v>198</v>
      </c>
      <c r="BH3" s="1" t="s">
        <v>199</v>
      </c>
      <c r="BI3" s="1" t="s">
        <v>391</v>
      </c>
      <c r="BJ3" s="1" t="s">
        <v>391</v>
      </c>
      <c r="BM3" s="1" t="s">
        <v>198</v>
      </c>
      <c r="BO3" s="1" t="s">
        <v>391</v>
      </c>
      <c r="BP3" s="1" t="s">
        <v>391</v>
      </c>
      <c r="BQ3" s="1" t="s">
        <v>391</v>
      </c>
      <c r="BR3" s="1" t="s">
        <v>198</v>
      </c>
      <c r="BS3" s="1" t="s">
        <v>199</v>
      </c>
      <c r="BT3" s="1" t="s">
        <v>391</v>
      </c>
      <c r="BU3" s="1" t="s">
        <v>198</v>
      </c>
      <c r="BV3" s="1" t="s">
        <v>199</v>
      </c>
      <c r="BW3" s="1" t="s">
        <v>391</v>
      </c>
      <c r="BX3" s="1" t="s">
        <v>198</v>
      </c>
      <c r="BY3" s="1" t="s">
        <v>201</v>
      </c>
      <c r="BZ3" s="1" t="s">
        <v>198</v>
      </c>
      <c r="CA3" s="1" t="s">
        <v>391</v>
      </c>
      <c r="CB3" s="1" t="s">
        <v>198</v>
      </c>
      <c r="CC3" s="1" t="s">
        <v>199</v>
      </c>
      <c r="CD3" s="1" t="s">
        <v>391</v>
      </c>
      <c r="CE3" s="1" t="s">
        <v>198</v>
      </c>
      <c r="CF3" s="1" t="s">
        <v>199</v>
      </c>
      <c r="CG3" s="1" t="s">
        <v>391</v>
      </c>
      <c r="CH3" s="1" t="s">
        <v>198</v>
      </c>
      <c r="CI3" s="1" t="s">
        <v>199</v>
      </c>
      <c r="CJ3" s="1" t="s">
        <v>391</v>
      </c>
      <c r="CK3" s="1" t="s">
        <v>391</v>
      </c>
      <c r="CL3" s="1" t="s">
        <v>391</v>
      </c>
      <c r="CO3" s="1" t="s">
        <v>200</v>
      </c>
      <c r="CP3" s="1" t="s">
        <v>390</v>
      </c>
    </row>
    <row r="4" spans="1:94" x14ac:dyDescent="0.25">
      <c r="A4" s="1" t="s">
        <v>201</v>
      </c>
      <c r="C4" s="1" t="s">
        <v>390</v>
      </c>
      <c r="E4" s="1" t="s">
        <v>390</v>
      </c>
      <c r="F4" s="1" t="s">
        <v>390</v>
      </c>
      <c r="G4" s="1" t="s">
        <v>199</v>
      </c>
      <c r="H4" s="1" t="s">
        <v>200</v>
      </c>
      <c r="I4" s="1" t="s">
        <v>390</v>
      </c>
      <c r="K4" s="1" t="s">
        <v>390</v>
      </c>
      <c r="M4" s="1" t="s">
        <v>199</v>
      </c>
      <c r="N4" s="1" t="s">
        <v>200</v>
      </c>
      <c r="O4" s="1" t="s">
        <v>390</v>
      </c>
      <c r="P4" s="1" t="s">
        <v>199</v>
      </c>
      <c r="Q4" s="1" t="s">
        <v>200</v>
      </c>
      <c r="R4" s="1" t="s">
        <v>390</v>
      </c>
      <c r="S4" s="1" t="s">
        <v>199</v>
      </c>
      <c r="T4" s="1" t="s">
        <v>200</v>
      </c>
      <c r="U4" s="1" t="s">
        <v>390</v>
      </c>
      <c r="V4" s="1" t="s">
        <v>199</v>
      </c>
      <c r="W4" s="1" t="s">
        <v>200</v>
      </c>
      <c r="X4" s="1" t="s">
        <v>390</v>
      </c>
      <c r="Y4" s="1" t="s">
        <v>199</v>
      </c>
      <c r="Z4" s="1" t="s">
        <v>200</v>
      </c>
      <c r="AA4" s="1" t="s">
        <v>200</v>
      </c>
      <c r="AC4" s="1" t="s">
        <v>199</v>
      </c>
      <c r="AD4" s="1" t="s">
        <v>200</v>
      </c>
      <c r="AE4" s="1" t="s">
        <v>390</v>
      </c>
      <c r="AF4" s="1" t="s">
        <v>199</v>
      </c>
      <c r="AG4" s="1" t="s">
        <v>200</v>
      </c>
      <c r="AH4" s="1" t="s">
        <v>390</v>
      </c>
      <c r="AI4" s="1" t="s">
        <v>199</v>
      </c>
      <c r="AJ4" s="1" t="s">
        <v>200</v>
      </c>
      <c r="AK4" s="1" t="s">
        <v>390</v>
      </c>
      <c r="AL4" s="1" t="s">
        <v>199</v>
      </c>
      <c r="AM4" s="1" t="s">
        <v>200</v>
      </c>
      <c r="AN4" s="1" t="s">
        <v>390</v>
      </c>
      <c r="AO4" s="1" t="s">
        <v>199</v>
      </c>
      <c r="AP4" s="1" t="s">
        <v>200</v>
      </c>
      <c r="AQ4" s="1" t="s">
        <v>390</v>
      </c>
      <c r="AR4" s="1" t="s">
        <v>199</v>
      </c>
      <c r="AS4" s="1" t="s">
        <v>200</v>
      </c>
      <c r="AT4" s="1" t="s">
        <v>390</v>
      </c>
      <c r="AU4" s="1" t="s">
        <v>199</v>
      </c>
      <c r="AV4" s="1" t="s">
        <v>200</v>
      </c>
      <c r="AW4" s="1" t="s">
        <v>390</v>
      </c>
      <c r="AX4" s="1" t="s">
        <v>199</v>
      </c>
      <c r="AY4" s="1" t="s">
        <v>200</v>
      </c>
      <c r="AZ4" s="1" t="s">
        <v>390</v>
      </c>
      <c r="BA4" s="1" t="s">
        <v>390</v>
      </c>
      <c r="BB4" s="1" t="s">
        <v>199</v>
      </c>
      <c r="BC4" s="1" t="s">
        <v>200</v>
      </c>
      <c r="BD4" s="1" t="s">
        <v>390</v>
      </c>
      <c r="BE4" s="1" t="s">
        <v>390</v>
      </c>
      <c r="BF4" s="1" t="s">
        <v>390</v>
      </c>
      <c r="BG4" s="1" t="s">
        <v>199</v>
      </c>
      <c r="BH4" s="1" t="s">
        <v>200</v>
      </c>
      <c r="BI4" s="1" t="s">
        <v>390</v>
      </c>
      <c r="BJ4" s="1" t="s">
        <v>390</v>
      </c>
      <c r="BM4" s="1" t="s">
        <v>199</v>
      </c>
      <c r="BO4" s="1" t="s">
        <v>390</v>
      </c>
      <c r="BP4" s="1" t="s">
        <v>390</v>
      </c>
      <c r="BQ4" s="1" t="s">
        <v>390</v>
      </c>
      <c r="BR4" s="1" t="s">
        <v>199</v>
      </c>
      <c r="BS4" s="1" t="s">
        <v>200</v>
      </c>
      <c r="BT4" s="1" t="s">
        <v>390</v>
      </c>
      <c r="BU4" s="1" t="s">
        <v>199</v>
      </c>
      <c r="BV4" s="1" t="s">
        <v>200</v>
      </c>
      <c r="BW4" s="1" t="s">
        <v>390</v>
      </c>
      <c r="BX4" s="1" t="s">
        <v>199</v>
      </c>
      <c r="BZ4" s="1" t="s">
        <v>199</v>
      </c>
      <c r="CA4" s="1" t="s">
        <v>390</v>
      </c>
      <c r="CB4" s="1" t="s">
        <v>199</v>
      </c>
      <c r="CC4" s="1" t="s">
        <v>200</v>
      </c>
      <c r="CD4" s="1" t="s">
        <v>390</v>
      </c>
      <c r="CE4" s="1" t="s">
        <v>199</v>
      </c>
      <c r="CF4" s="1" t="s">
        <v>200</v>
      </c>
      <c r="CG4" s="1" t="s">
        <v>390</v>
      </c>
      <c r="CH4" s="1" t="s">
        <v>199</v>
      </c>
      <c r="CI4" s="1" t="s">
        <v>200</v>
      </c>
      <c r="CJ4" s="1" t="s">
        <v>390</v>
      </c>
      <c r="CK4" s="1" t="s">
        <v>390</v>
      </c>
      <c r="CL4" s="1" t="s">
        <v>390</v>
      </c>
      <c r="CO4" s="1" t="s">
        <v>201</v>
      </c>
    </row>
    <row r="5" spans="1:94" x14ac:dyDescent="0.25">
      <c r="G5" s="1" t="s">
        <v>200</v>
      </c>
      <c r="H5" s="1" t="s">
        <v>201</v>
      </c>
      <c r="M5" s="1" t="s">
        <v>200</v>
      </c>
      <c r="N5" s="1" t="s">
        <v>201</v>
      </c>
      <c r="P5" s="1" t="s">
        <v>200</v>
      </c>
      <c r="Q5" s="1" t="s">
        <v>201</v>
      </c>
      <c r="S5" s="1" t="s">
        <v>200</v>
      </c>
      <c r="T5" s="1" t="s">
        <v>201</v>
      </c>
      <c r="V5" s="1" t="s">
        <v>200</v>
      </c>
      <c r="W5" s="1" t="s">
        <v>201</v>
      </c>
      <c r="Y5" s="1" t="s">
        <v>200</v>
      </c>
      <c r="Z5" s="1" t="s">
        <v>201</v>
      </c>
      <c r="AA5" s="1" t="s">
        <v>201</v>
      </c>
      <c r="AC5" s="1" t="s">
        <v>200</v>
      </c>
      <c r="AD5" s="1" t="s">
        <v>201</v>
      </c>
      <c r="AF5" s="1" t="s">
        <v>200</v>
      </c>
      <c r="AG5" s="1" t="s">
        <v>201</v>
      </c>
      <c r="AI5" s="1" t="s">
        <v>200</v>
      </c>
      <c r="AJ5" s="1" t="s">
        <v>201</v>
      </c>
      <c r="AL5" s="1" t="s">
        <v>200</v>
      </c>
      <c r="AM5" s="1" t="s">
        <v>201</v>
      </c>
      <c r="AO5" s="1" t="s">
        <v>200</v>
      </c>
      <c r="AP5" s="1" t="s">
        <v>201</v>
      </c>
      <c r="AR5" s="1" t="s">
        <v>200</v>
      </c>
      <c r="AS5" s="1" t="s">
        <v>201</v>
      </c>
      <c r="AU5" s="1" t="s">
        <v>200</v>
      </c>
      <c r="AV5" s="1" t="s">
        <v>201</v>
      </c>
      <c r="AX5" s="1" t="s">
        <v>200</v>
      </c>
      <c r="AY5" s="1" t="s">
        <v>201</v>
      </c>
      <c r="BB5" s="1" t="s">
        <v>200</v>
      </c>
      <c r="BC5" s="1" t="s">
        <v>201</v>
      </c>
      <c r="BG5" s="1" t="s">
        <v>200</v>
      </c>
      <c r="BH5" s="1" t="s">
        <v>201</v>
      </c>
      <c r="BM5" s="1" t="s">
        <v>200</v>
      </c>
      <c r="BR5" s="1" t="s">
        <v>200</v>
      </c>
      <c r="BS5" s="1" t="s">
        <v>201</v>
      </c>
      <c r="BU5" s="1" t="s">
        <v>200</v>
      </c>
      <c r="BV5" s="1" t="s">
        <v>201</v>
      </c>
      <c r="BX5" s="1" t="s">
        <v>200</v>
      </c>
      <c r="BZ5" s="1" t="s">
        <v>200</v>
      </c>
      <c r="CB5" s="1" t="s">
        <v>200</v>
      </c>
      <c r="CC5" s="1" t="s">
        <v>201</v>
      </c>
      <c r="CE5" s="1" t="s">
        <v>200</v>
      </c>
      <c r="CF5" s="1" t="s">
        <v>201</v>
      </c>
      <c r="CH5" s="1" t="s">
        <v>200</v>
      </c>
      <c r="CI5" s="1" t="s">
        <v>201</v>
      </c>
    </row>
    <row r="6" spans="1:94" x14ac:dyDescent="0.25">
      <c r="G6" s="1" t="s">
        <v>201</v>
      </c>
      <c r="H6" s="1" t="s">
        <v>391</v>
      </c>
      <c r="M6" s="1" t="s">
        <v>201</v>
      </c>
      <c r="P6" s="1" t="s">
        <v>201</v>
      </c>
      <c r="Q6" s="1" t="s">
        <v>391</v>
      </c>
      <c r="S6" s="1" t="s">
        <v>201</v>
      </c>
      <c r="T6" s="1" t="s">
        <v>391</v>
      </c>
      <c r="V6" s="1" t="s">
        <v>201</v>
      </c>
      <c r="W6" s="1" t="s">
        <v>391</v>
      </c>
      <c r="Y6" s="1" t="s">
        <v>201</v>
      </c>
      <c r="Z6" s="1" t="s">
        <v>391</v>
      </c>
      <c r="AC6" s="1" t="s">
        <v>201</v>
      </c>
      <c r="AF6" s="1" t="s">
        <v>201</v>
      </c>
      <c r="AG6" s="1" t="s">
        <v>391</v>
      </c>
      <c r="AI6" s="1" t="s">
        <v>201</v>
      </c>
      <c r="AJ6" s="1" t="s">
        <v>391</v>
      </c>
      <c r="AL6" s="1" t="s">
        <v>201</v>
      </c>
      <c r="AM6" s="1" t="s">
        <v>391</v>
      </c>
      <c r="AO6" s="1" t="s">
        <v>201</v>
      </c>
      <c r="AP6" s="1" t="s">
        <v>391</v>
      </c>
      <c r="AR6" s="1" t="s">
        <v>201</v>
      </c>
      <c r="AS6" s="1" t="s">
        <v>391</v>
      </c>
      <c r="AU6" s="1" t="s">
        <v>201</v>
      </c>
      <c r="AV6" s="1" t="s">
        <v>391</v>
      </c>
      <c r="AX6" s="1" t="s">
        <v>201</v>
      </c>
      <c r="AY6" s="1" t="s">
        <v>391</v>
      </c>
      <c r="BB6" s="1" t="s">
        <v>201</v>
      </c>
      <c r="BC6" s="1" t="s">
        <v>391</v>
      </c>
      <c r="BG6" s="1" t="s">
        <v>201</v>
      </c>
      <c r="BH6" s="1" t="s">
        <v>391</v>
      </c>
      <c r="BM6" s="1" t="s">
        <v>201</v>
      </c>
      <c r="BR6" s="1" t="s">
        <v>201</v>
      </c>
      <c r="BS6" s="1" t="s">
        <v>391</v>
      </c>
      <c r="BU6" s="1" t="s">
        <v>201</v>
      </c>
      <c r="BV6" s="1" t="s">
        <v>391</v>
      </c>
      <c r="BX6" s="1" t="s">
        <v>201</v>
      </c>
      <c r="BZ6" s="1" t="s">
        <v>201</v>
      </c>
      <c r="CB6" s="1" t="s">
        <v>201</v>
      </c>
      <c r="CC6" s="1" t="s">
        <v>391</v>
      </c>
      <c r="CE6" s="1" t="s">
        <v>201</v>
      </c>
      <c r="CF6" s="1" t="s">
        <v>391</v>
      </c>
      <c r="CH6" s="1" t="s">
        <v>201</v>
      </c>
      <c r="CI6" s="1" t="s">
        <v>391</v>
      </c>
    </row>
    <row r="7" spans="1:94" x14ac:dyDescent="0.25">
      <c r="G7" s="1" t="s">
        <v>391</v>
      </c>
      <c r="H7" s="1" t="s">
        <v>390</v>
      </c>
      <c r="P7" s="1" t="s">
        <v>391</v>
      </c>
      <c r="Q7" s="1" t="s">
        <v>390</v>
      </c>
      <c r="S7" s="1" t="s">
        <v>391</v>
      </c>
      <c r="T7" s="1" t="s">
        <v>390</v>
      </c>
      <c r="V7" s="1" t="s">
        <v>391</v>
      </c>
      <c r="W7" s="1" t="s">
        <v>390</v>
      </c>
      <c r="Y7" s="1" t="s">
        <v>391</v>
      </c>
      <c r="Z7" s="1" t="s">
        <v>390</v>
      </c>
      <c r="AF7" s="1" t="s">
        <v>391</v>
      </c>
      <c r="AG7" s="1" t="s">
        <v>390</v>
      </c>
      <c r="AI7" s="1" t="s">
        <v>391</v>
      </c>
      <c r="AJ7" s="1" t="s">
        <v>390</v>
      </c>
      <c r="AL7" s="1" t="s">
        <v>391</v>
      </c>
      <c r="AM7" s="1" t="s">
        <v>390</v>
      </c>
      <c r="AO7" s="1" t="s">
        <v>391</v>
      </c>
      <c r="AP7" s="1" t="s">
        <v>390</v>
      </c>
      <c r="AR7" s="1" t="s">
        <v>391</v>
      </c>
      <c r="AS7" s="1" t="s">
        <v>390</v>
      </c>
      <c r="AU7" s="1" t="s">
        <v>391</v>
      </c>
      <c r="AV7" s="1" t="s">
        <v>390</v>
      </c>
      <c r="AX7" s="1" t="s">
        <v>391</v>
      </c>
      <c r="AY7" s="1" t="s">
        <v>390</v>
      </c>
      <c r="BB7" s="1" t="s">
        <v>391</v>
      </c>
      <c r="BC7" s="1" t="s">
        <v>390</v>
      </c>
      <c r="BG7" s="1" t="s">
        <v>391</v>
      </c>
      <c r="BH7" s="1" t="s">
        <v>390</v>
      </c>
      <c r="BM7" s="1" t="s">
        <v>391</v>
      </c>
      <c r="BR7" s="1" t="s">
        <v>391</v>
      </c>
      <c r="BS7" s="1" t="s">
        <v>390</v>
      </c>
      <c r="BU7" s="1" t="s">
        <v>391</v>
      </c>
      <c r="BV7" s="1" t="s">
        <v>390</v>
      </c>
      <c r="BX7" s="1" t="s">
        <v>391</v>
      </c>
      <c r="CB7" s="1" t="s">
        <v>391</v>
      </c>
      <c r="CC7" s="1" t="s">
        <v>390</v>
      </c>
      <c r="CE7" s="1" t="s">
        <v>391</v>
      </c>
      <c r="CF7" s="1" t="s">
        <v>390</v>
      </c>
      <c r="CH7" s="1" t="s">
        <v>391</v>
      </c>
      <c r="CI7" s="1" t="s">
        <v>390</v>
      </c>
    </row>
    <row r="8" spans="1:94" x14ac:dyDescent="0.25">
      <c r="G8" s="1" t="s">
        <v>390</v>
      </c>
      <c r="P8" s="1" t="s">
        <v>390</v>
      </c>
      <c r="S8" s="1" t="s">
        <v>390</v>
      </c>
      <c r="V8" s="1" t="s">
        <v>390</v>
      </c>
      <c r="Y8" s="1" t="s">
        <v>390</v>
      </c>
      <c r="AF8" s="1" t="s">
        <v>390</v>
      </c>
      <c r="AI8" s="1" t="s">
        <v>390</v>
      </c>
      <c r="AL8" s="1" t="s">
        <v>390</v>
      </c>
      <c r="AO8" s="1" t="s">
        <v>390</v>
      </c>
      <c r="AR8" s="1" t="s">
        <v>390</v>
      </c>
      <c r="AU8" s="1" t="s">
        <v>390</v>
      </c>
      <c r="AX8" s="1" t="s">
        <v>390</v>
      </c>
      <c r="BB8" s="1" t="s">
        <v>390</v>
      </c>
      <c r="BG8" s="1" t="s">
        <v>390</v>
      </c>
      <c r="BM8" s="1" t="s">
        <v>390</v>
      </c>
      <c r="BR8" s="1" t="s">
        <v>390</v>
      </c>
      <c r="BU8" s="1" t="s">
        <v>390</v>
      </c>
      <c r="BX8" s="1" t="s">
        <v>390</v>
      </c>
      <c r="CB8" s="1" t="s">
        <v>390</v>
      </c>
      <c r="CE8" s="1" t="s">
        <v>390</v>
      </c>
      <c r="CH8" s="1" t="s">
        <v>390</v>
      </c>
    </row>
  </sheetData>
  <sheetProtection password="CF98" sheet="1" objects="1" scenarios="1"/>
  <sortState ref="A13:I99">
    <sortCondition ref="A13:A99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E25F06-400A-40A5-9130-F7429AFB22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59" baseType="lpstr">
      <vt:lpstr>Инструкция</vt:lpstr>
      <vt:lpstr>Темы</vt:lpstr>
      <vt:lpstr>Соотношение категорий</vt:lpstr>
      <vt:lpstr>Титул</vt:lpstr>
      <vt:lpstr>Мат.запасы</vt:lpstr>
      <vt:lpstr>Командировочные</vt:lpstr>
      <vt:lpstr>Прочие расходы</vt:lpstr>
      <vt:lpstr>Состав ВТК</vt:lpstr>
      <vt:lpstr>Работы</vt:lpstr>
      <vt:lpstr>Трудозатраты членов ВТК</vt:lpstr>
      <vt:lpstr>План-задание</vt:lpstr>
      <vt:lpstr>Распределение</vt:lpstr>
      <vt:lpstr>Выплаты</vt:lpstr>
      <vt:lpstr>счеталка премий</vt:lpstr>
      <vt:lpstr>Премирование</vt:lpstr>
      <vt:lpstr>Премирование ПЕЧАТЬ</vt:lpstr>
      <vt:lpstr>Смета Реком.</vt:lpstr>
      <vt:lpstr>Смета Рук.ВТК</vt:lpstr>
      <vt:lpstr>Состав ВТК ПЕЧАТЬ</vt:lpstr>
      <vt:lpstr>Работы ПЕЧАТЬ</vt:lpstr>
      <vt:lpstr>Штатка ПЕЧАТЬ</vt:lpstr>
      <vt:lpstr>не забыть!</vt:lpstr>
      <vt:lpstr>Расчет участников НИР</vt:lpstr>
      <vt:lpstr>Расценка</vt:lpstr>
      <vt:lpstr>справочник</vt:lpstr>
      <vt:lpstr>должности</vt:lpstr>
      <vt:lpstr>Работы!_ftn1</vt:lpstr>
      <vt:lpstr>'Работы ПЕЧАТЬ'!_ftn1</vt:lpstr>
      <vt:lpstr>Работы!_ftn2</vt:lpstr>
      <vt:lpstr>'Работы ПЕЧАТЬ'!_ftn2</vt:lpstr>
      <vt:lpstr>Работы!_ftn3</vt:lpstr>
      <vt:lpstr>'Работы ПЕЧАТЬ'!_ftn3</vt:lpstr>
      <vt:lpstr>Работы!_ftnref1</vt:lpstr>
      <vt:lpstr>'Работы ПЕЧАТЬ'!_ftnref1</vt:lpstr>
      <vt:lpstr>'Прочие расходы'!_Hlk114643707</vt:lpstr>
      <vt:lpstr>Аспирант</vt:lpstr>
      <vt:lpstr>Ассистент</vt:lpstr>
      <vt:lpstr>Вакансия</vt:lpstr>
      <vt:lpstr>Ведущий_консультант</vt:lpstr>
      <vt:lpstr>Ведущий_научный_сотрудник</vt:lpstr>
      <vt:lpstr>Ведущий_специалист</vt:lpstr>
      <vt:lpstr>Внешний_эксперт_Без_степени</vt:lpstr>
      <vt:lpstr>Внешний_эксперт_Доктор_наук</vt:lpstr>
      <vt:lpstr>Внешний_эксперт_Кандидат_наук</vt:lpstr>
      <vt:lpstr>Главный_консультант</vt:lpstr>
      <vt:lpstr>Главный_научный_сотрудник</vt:lpstr>
      <vt:lpstr>Главный_специалист</vt:lpstr>
      <vt:lpstr>Декан_факультета_Без_степени</vt:lpstr>
      <vt:lpstr>Декан_факультета_Доктор_наук</vt:lpstr>
      <vt:lpstr>Декан_факультета_Кандидат_наук</vt:lpstr>
      <vt:lpstr>Директор_института_АУП_Без_степени</vt:lpstr>
      <vt:lpstr>Директор_института_АУП_Доктор_наук</vt:lpstr>
      <vt:lpstr>Директор_института_АУП_Кандидат_наук</vt:lpstr>
      <vt:lpstr>Директор_института_НР_Без_степени</vt:lpstr>
      <vt:lpstr>Директор_института_НР_Доктор_наук</vt:lpstr>
      <vt:lpstr>Директор_института_НР_Кандидат_наук</vt:lpstr>
      <vt:lpstr>Директор_центра_АУП_Без_степени</vt:lpstr>
      <vt:lpstr>Директор_центра_АУП_Доктор_наук</vt:lpstr>
      <vt:lpstr>Директор_центра_АУП_Кандидат_наук</vt:lpstr>
      <vt:lpstr>Директор_центра_НР_Без_степени</vt:lpstr>
      <vt:lpstr>Директор_центра_НР_Доктор_наук</vt:lpstr>
      <vt:lpstr>Директор_центра_НР_Кандидат_наук</vt:lpstr>
      <vt:lpstr>Доцент</vt:lpstr>
      <vt:lpstr>Заведующий_кафедрой_Без_степени</vt:lpstr>
      <vt:lpstr>Заведующий_кафедрой_Доктор_наук</vt:lpstr>
      <vt:lpstr>Заведующий_кафедрой_Кандидат_наук</vt:lpstr>
      <vt:lpstr>Заведующий_лабораторией_Без_степени</vt:lpstr>
      <vt:lpstr>Заведующий_лабораторией_Доктор_наук</vt:lpstr>
      <vt:lpstr>Заведующий_лабораторией_Кандидат_наук</vt:lpstr>
      <vt:lpstr>'Состав ВТК ПЕЧАТЬ'!Заголовки_для_печати</vt:lpstr>
      <vt:lpstr>Заместитель_декана_по_направлениям_Без_степени</vt:lpstr>
      <vt:lpstr>Заместитель_декана_по_направлениям_Доктор_наук</vt:lpstr>
      <vt:lpstr>Заместитель_декана_по_направлениям_Кандидат_наук</vt:lpstr>
      <vt:lpstr>Заместитель_директора_института_АУП_Без_степени</vt:lpstr>
      <vt:lpstr>Заместитель_директора_института_АУП_Доктор_наук</vt:lpstr>
      <vt:lpstr>Заместитель_директора_института_АУП_Кандидат_наук</vt:lpstr>
      <vt:lpstr>Заместитель_директора_института_Без_степени</vt:lpstr>
      <vt:lpstr>Заместитель_директора_института_Доктор_наук</vt:lpstr>
      <vt:lpstr>Заместитель_директора_института_Кандидат_наук</vt:lpstr>
      <vt:lpstr>Заместитель_директора_института_НР_Без_степени</vt:lpstr>
      <vt:lpstr>Заместитель_директора_института_НР_Доктор_наук</vt:lpstr>
      <vt:lpstr>Заместитель_директора_института_НР_Кандидат_наук</vt:lpstr>
      <vt:lpstr>Заместитель_директора_центра_АУП_Без_степени</vt:lpstr>
      <vt:lpstr>Заместитель_директора_центра_АУП_Доктор_наук</vt:lpstr>
      <vt:lpstr>Заместитель_директора_центра_АУП_Кандидат_наук</vt:lpstr>
      <vt:lpstr>Заместитель_директора_центра_НР_Без_степени</vt:lpstr>
      <vt:lpstr>Заместитель_директора_центра_НР_Доктор_наук</vt:lpstr>
      <vt:lpstr>Заместитель_директора_центра_НР_Кандидат_наук</vt:lpstr>
      <vt:lpstr>Заместитель_заведующего_кафедрой_Без_степени</vt:lpstr>
      <vt:lpstr>Заместитель_заведующего_кафедрой_Доктор_наук</vt:lpstr>
      <vt:lpstr>Заместитель_заведующего_кафедрой_Кандидат_наук</vt:lpstr>
      <vt:lpstr>Заместитель_заведующего_лабораторией_Без_степени</vt:lpstr>
      <vt:lpstr>Заместитель_научного_руководителя_Без_степени</vt:lpstr>
      <vt:lpstr>Заместитель_научного_руководителя_Доктор_наук</vt:lpstr>
      <vt:lpstr>Заместитель_научного_руководителя_Кандидат_наук</vt:lpstr>
      <vt:lpstr>Заместитель_начальника_отдела_Без_степени</vt:lpstr>
      <vt:lpstr>Заместитель_начальника_управления_Без_степени</vt:lpstr>
      <vt:lpstr>Заместитель_руководителя_департамента_Без_степени</vt:lpstr>
      <vt:lpstr>Заместитель_руководителя_департамента_Доктор_наук</vt:lpstr>
      <vt:lpstr>Заместитель_руководителя_департамента_Кандидат_наук</vt:lpstr>
      <vt:lpstr>Заместитель_руководителя_службы_Без_степени</vt:lpstr>
      <vt:lpstr>Заместитель_руководителя_учебно_научного_департамента_Без_степени</vt:lpstr>
      <vt:lpstr>Заместитель_руководителя_учебно_научного_департамента_Доктор_наук</vt:lpstr>
      <vt:lpstr>Заместитель_руководителя_учебно_научного_департамента_Кандидат_наук</vt:lpstr>
      <vt:lpstr>Консультант</vt:lpstr>
      <vt:lpstr>Лаборант_исследователь</vt:lpstr>
      <vt:lpstr>Младший_научный_сотрудник</vt:lpstr>
      <vt:lpstr>Научный_руководитель</vt:lpstr>
      <vt:lpstr>Научный_сотрудник</vt:lpstr>
      <vt:lpstr>Начальник_отдела_Без_степени</vt:lpstr>
      <vt:lpstr>Начальник_управления_Без_степени</vt:lpstr>
      <vt:lpstr>Выплаты!Область_печати</vt:lpstr>
      <vt:lpstr>Командировочные!Область_печати</vt:lpstr>
      <vt:lpstr>Мат.запасы!Область_печати</vt:lpstr>
      <vt:lpstr>Премирование!Область_печати</vt:lpstr>
      <vt:lpstr>'Премирование ПЕЧАТЬ'!Область_печати</vt:lpstr>
      <vt:lpstr>'Прочие расходы'!Область_печати</vt:lpstr>
      <vt:lpstr>Работы!Область_печати</vt:lpstr>
      <vt:lpstr>'Работы ПЕЧАТЬ'!Область_печати</vt:lpstr>
      <vt:lpstr>Расценка!Область_печати</vt:lpstr>
      <vt:lpstr>'Смета Реком.'!Область_печати</vt:lpstr>
      <vt:lpstr>'Смета Рук.ВТК'!Область_печати</vt:lpstr>
      <vt:lpstr>'Состав ВТК ПЕЧАТЬ'!Область_печати</vt:lpstr>
      <vt:lpstr>Титул!Область_печати</vt:lpstr>
      <vt:lpstr>'Трудозатраты членов ВТК'!Область_печати</vt:lpstr>
      <vt:lpstr>'Штатка ПЕЧАТЬ'!Область_печати</vt:lpstr>
      <vt:lpstr>Ответственный_исполнитель</vt:lpstr>
      <vt:lpstr>Первый_заместитель_декана_Без_степени</vt:lpstr>
      <vt:lpstr>Первый_заместитель_декана_Доктор_наук</vt:lpstr>
      <vt:lpstr>Первый_заместитель_декана_Кандидат_наук</vt:lpstr>
      <vt:lpstr>Первый_заместитель_руководителя_департамента_Без_степени</vt:lpstr>
      <vt:lpstr>Первый_заместитель_руководителя_департамента_Доктор_наук</vt:lpstr>
      <vt:lpstr>Первый_заместитель_руководителя_департамента_Кандидат_наук</vt:lpstr>
      <vt:lpstr>Помощник_по_направлениям_Без_степени</vt:lpstr>
      <vt:lpstr>Президент_Доктор_наук</vt:lpstr>
      <vt:lpstr>Преподаватель</vt:lpstr>
      <vt:lpstr>Профессор</vt:lpstr>
      <vt:lpstr>Профессор_исследователь_Без_степени</vt:lpstr>
      <vt:lpstr>Профессор_исследователь_Доктор_наук</vt:lpstr>
      <vt:lpstr>Профессор_исследователь_Кандидат_наук</vt:lpstr>
      <vt:lpstr>Профессор_консультант_Без_степени</vt:lpstr>
      <vt:lpstr>Профессор_консультант_Доктор_наук</vt:lpstr>
      <vt:lpstr>Профессор_консультант_Кандидат_наук</vt:lpstr>
      <vt:lpstr>Руководитель_ВТК</vt:lpstr>
      <vt:lpstr>Руководитель_департамента_Без_степени</vt:lpstr>
      <vt:lpstr>Руководитель_департамента_Доктор_наук</vt:lpstr>
      <vt:lpstr>Руководитель_департамента_Кандидат_наук</vt:lpstr>
      <vt:lpstr>Руководитель_службы_Без_степени</vt:lpstr>
      <vt:lpstr>Руководитель_учебно_научного_департамента_Без_степени</vt:lpstr>
      <vt:lpstr>Руководитель_учебно_научного_департамента_Доктор_наук</vt:lpstr>
      <vt:lpstr>Руководитель_учебно_научного_департамента_Кандидат_наук</vt:lpstr>
      <vt:lpstr>Советник</vt:lpstr>
      <vt:lpstr>Специалист</vt:lpstr>
      <vt:lpstr>Стажер_исследователь</vt:lpstr>
      <vt:lpstr>Старший_научный_сотрудник</vt:lpstr>
      <vt:lpstr>Старший_преподаватель</vt:lpstr>
      <vt:lpstr>Студент</vt:lpstr>
      <vt:lpstr>Член_ВТК</vt:lpstr>
      <vt:lpstr>Член_ВТК_внешний_эксперт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2024-08-28T11:13:36Z</dcterms:modified>
  <cp:contentStatus/>
</cp:coreProperties>
</file>