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ЭтаКнига" defaultThemeVersion="164011"/>
  <bookViews>
    <workbookView xWindow="0" yWindow="0" windowWidth="28800" windowHeight="11925"/>
  </bookViews>
  <sheets>
    <sheet name="Главная" sheetId="3" r:id="rId1"/>
    <sheet name="01.03.00" sheetId="1" r:id="rId2"/>
    <sheet name="09.03.00" sheetId="5" r:id="rId3"/>
    <sheet name="10.03.00" sheetId="6" r:id="rId4"/>
    <sheet name="27.03.00" sheetId="7" r:id="rId5"/>
    <sheet name="37.03.01" sheetId="29" r:id="rId6"/>
    <sheet name="38.03.00" sheetId="8" r:id="rId7"/>
    <sheet name="39.03.00" sheetId="28" r:id="rId8"/>
    <sheet name="40.03.00" sheetId="9" r:id="rId9"/>
    <sheet name="41.03.00" sheetId="10" r:id="rId10"/>
    <sheet name="42.03.00" sheetId="11" r:id="rId11"/>
    <sheet name="43.03.00" sheetId="12" r:id="rId12"/>
    <sheet name="45.03.00" sheetId="30" r:id="rId13"/>
    <sheet name="47.03.00" sheetId="31" r:id="rId14"/>
    <sheet name="01.04.00" sheetId="2" r:id="rId15"/>
    <sheet name="09.04.00" sheetId="14" r:id="rId16"/>
    <sheet name="10.04.00" sheetId="15" r:id="rId17"/>
    <sheet name="15.04.00" sheetId="32" r:id="rId18"/>
    <sheet name="38.04.00" sheetId="16" r:id="rId19"/>
    <sheet name="39.04.00" sheetId="17" r:id="rId20"/>
    <sheet name="40.04.00" sheetId="18" r:id="rId21"/>
    <sheet name="41.04.00" sheetId="19" r:id="rId22"/>
    <sheet name="42.04.00" sheetId="33" r:id="rId23"/>
    <sheet name="43.04.00" sheetId="20" r:id="rId24"/>
    <sheet name="44.04.00" sheetId="36" r:id="rId25"/>
    <sheet name="45.04.00" sheetId="34" r:id="rId26"/>
    <sheet name="47.04.00" sheetId="35" r:id="rId27"/>
    <sheet name="09.06.00" sheetId="4" r:id="rId28"/>
    <sheet name="10.06.00" sheetId="22" r:id="rId29"/>
    <sheet name="38.06.00" sheetId="23" r:id="rId30"/>
    <sheet name="39.06.00" sheetId="24" r:id="rId31"/>
    <sheet name="40.06.00" sheetId="25" r:id="rId32"/>
    <sheet name="41.06.00" sheetId="26" r:id="rId33"/>
    <sheet name="47.06.00" sheetId="27" r:id="rId3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5" i="32" l="1"/>
  <c r="E92" i="36" l="1"/>
  <c r="E91" i="36"/>
  <c r="E90" i="36"/>
  <c r="E88" i="36"/>
  <c r="E87" i="36"/>
  <c r="E86" i="36"/>
  <c r="E85" i="36"/>
  <c r="E84" i="36"/>
  <c r="E83" i="36"/>
  <c r="E82" i="36"/>
  <c r="E81" i="36"/>
  <c r="E80" i="36"/>
  <c r="E79" i="36"/>
  <c r="E78" i="36"/>
  <c r="E77" i="36"/>
  <c r="H76" i="36"/>
  <c r="F76" i="36"/>
  <c r="E75" i="36"/>
  <c r="E74" i="36"/>
  <c r="E73" i="36"/>
  <c r="E72" i="36"/>
  <c r="E71" i="36"/>
  <c r="E70" i="36"/>
  <c r="H69" i="36"/>
  <c r="F69" i="36"/>
  <c r="F65" i="36"/>
  <c r="H65" i="36" s="1"/>
  <c r="E64" i="36"/>
  <c r="E63" i="36"/>
  <c r="E62" i="36"/>
  <c r="E61" i="36"/>
  <c r="E60" i="36"/>
  <c r="E59" i="36"/>
  <c r="E58" i="36"/>
  <c r="E57" i="36"/>
  <c r="E56" i="36"/>
  <c r="F55" i="36"/>
  <c r="H55" i="36" s="1"/>
  <c r="E54" i="36"/>
  <c r="E53" i="36"/>
  <c r="F52" i="36"/>
  <c r="H52" i="36" s="1"/>
  <c r="E51" i="36"/>
  <c r="E50" i="36"/>
  <c r="E49" i="36"/>
  <c r="E48" i="36"/>
  <c r="E47" i="36"/>
  <c r="E46" i="36"/>
  <c r="E45" i="36"/>
  <c r="E44" i="36"/>
  <c r="E43" i="36"/>
  <c r="H42" i="36"/>
  <c r="F42" i="36"/>
  <c r="E41" i="36"/>
  <c r="E40" i="36"/>
  <c r="E39" i="36"/>
  <c r="F38" i="36"/>
  <c r="H38" i="36" s="1"/>
  <c r="E37" i="36"/>
  <c r="E36" i="36"/>
  <c r="E35" i="36"/>
  <c r="E34" i="36"/>
  <c r="E33" i="36"/>
  <c r="E32" i="36"/>
  <c r="E31" i="36"/>
  <c r="E30" i="36"/>
  <c r="E29" i="36"/>
  <c r="F28" i="36"/>
  <c r="H28" i="36" s="1"/>
  <c r="E27" i="36"/>
  <c r="E26" i="36"/>
  <c r="E25" i="36"/>
  <c r="E24" i="36"/>
  <c r="E23" i="36"/>
  <c r="E22" i="36"/>
  <c r="H21" i="36"/>
  <c r="F21" i="36"/>
  <c r="E20" i="36"/>
  <c r="E19" i="36"/>
  <c r="F18" i="36"/>
  <c r="H18" i="36" s="1"/>
  <c r="E17" i="36"/>
  <c r="E16" i="36"/>
  <c r="H15" i="36"/>
  <c r="F15" i="36"/>
  <c r="E14" i="36"/>
  <c r="F13" i="36"/>
  <c r="H13" i="36" s="1"/>
  <c r="E12" i="36"/>
  <c r="E11" i="36"/>
  <c r="F10" i="36"/>
  <c r="H10" i="36" s="1"/>
  <c r="E9" i="36"/>
  <c r="E8" i="36"/>
  <c r="F7" i="36"/>
  <c r="H7" i="36" s="1"/>
  <c r="E92" i="35"/>
  <c r="E91" i="35"/>
  <c r="E90" i="35"/>
  <c r="E88" i="35"/>
  <c r="E87" i="35"/>
  <c r="E86" i="35"/>
  <c r="E85" i="35"/>
  <c r="E84" i="35"/>
  <c r="E83" i="35"/>
  <c r="E82" i="35"/>
  <c r="E81" i="35"/>
  <c r="E80" i="35"/>
  <c r="E79" i="35"/>
  <c r="E78" i="35"/>
  <c r="E77" i="35"/>
  <c r="F76" i="35"/>
  <c r="H76" i="35" s="1"/>
  <c r="E75" i="35"/>
  <c r="E74" i="35"/>
  <c r="E73" i="35"/>
  <c r="E72" i="35"/>
  <c r="E71" i="35"/>
  <c r="E70" i="35"/>
  <c r="F69" i="35"/>
  <c r="H69" i="35" s="1"/>
  <c r="F65" i="35"/>
  <c r="H65" i="35" s="1"/>
  <c r="E64" i="35"/>
  <c r="E63" i="35"/>
  <c r="E62" i="35"/>
  <c r="E61" i="35"/>
  <c r="E60" i="35"/>
  <c r="E59" i="35"/>
  <c r="E58" i="35"/>
  <c r="E57" i="35"/>
  <c r="E56" i="35"/>
  <c r="F55" i="35"/>
  <c r="H55" i="35" s="1"/>
  <c r="E54" i="35"/>
  <c r="E53" i="35"/>
  <c r="F52" i="35"/>
  <c r="H52" i="35" s="1"/>
  <c r="E51" i="35"/>
  <c r="E50" i="35"/>
  <c r="E49" i="35"/>
  <c r="E48" i="35"/>
  <c r="E47" i="35"/>
  <c r="E46" i="35"/>
  <c r="E45" i="35"/>
  <c r="E44" i="35"/>
  <c r="E43" i="35"/>
  <c r="H42" i="35"/>
  <c r="F42" i="35"/>
  <c r="E41" i="35"/>
  <c r="E40" i="35"/>
  <c r="E39" i="35"/>
  <c r="F38" i="35"/>
  <c r="H38" i="35" s="1"/>
  <c r="E37" i="35"/>
  <c r="E36" i="35"/>
  <c r="E35" i="35"/>
  <c r="E34" i="35"/>
  <c r="E33" i="35"/>
  <c r="E32" i="35"/>
  <c r="E31" i="35"/>
  <c r="E30" i="35"/>
  <c r="E29" i="35"/>
  <c r="F28" i="35"/>
  <c r="H28" i="35" s="1"/>
  <c r="E27" i="35"/>
  <c r="E26" i="35"/>
  <c r="E25" i="35"/>
  <c r="E24" i="35"/>
  <c r="E23" i="35"/>
  <c r="E22" i="35"/>
  <c r="H21" i="35"/>
  <c r="F21" i="35"/>
  <c r="E20" i="35"/>
  <c r="E19" i="35"/>
  <c r="F18" i="35"/>
  <c r="H18" i="35" s="1"/>
  <c r="E17" i="35"/>
  <c r="E16" i="35"/>
  <c r="F15" i="35"/>
  <c r="H15" i="35" s="1"/>
  <c r="E14" i="35"/>
  <c r="F13" i="35"/>
  <c r="H13" i="35" s="1"/>
  <c r="E12" i="35"/>
  <c r="E11" i="35"/>
  <c r="F10" i="35"/>
  <c r="H10" i="35" s="1"/>
  <c r="E9" i="35"/>
  <c r="E8" i="35"/>
  <c r="H7" i="35"/>
  <c r="F7" i="35"/>
  <c r="E92" i="34"/>
  <c r="E91" i="34"/>
  <c r="E90" i="34"/>
  <c r="E88" i="34"/>
  <c r="E87" i="34"/>
  <c r="E86" i="34"/>
  <c r="E85" i="34"/>
  <c r="E84" i="34"/>
  <c r="E83" i="34"/>
  <c r="E82" i="34"/>
  <c r="E81" i="34"/>
  <c r="E80" i="34"/>
  <c r="E79" i="34"/>
  <c r="E78" i="34"/>
  <c r="E77" i="34"/>
  <c r="F76" i="34"/>
  <c r="H76" i="34" s="1"/>
  <c r="E75" i="34"/>
  <c r="E74" i="34"/>
  <c r="E73" i="34"/>
  <c r="E72" i="34"/>
  <c r="E71" i="34"/>
  <c r="E70" i="34"/>
  <c r="F69" i="34"/>
  <c r="H69" i="34" s="1"/>
  <c r="F65" i="34"/>
  <c r="H65" i="34" s="1"/>
  <c r="E64" i="34"/>
  <c r="E63" i="34"/>
  <c r="E62" i="34"/>
  <c r="E61" i="34"/>
  <c r="E60" i="34"/>
  <c r="E59" i="34"/>
  <c r="E58" i="34"/>
  <c r="E57" i="34"/>
  <c r="E56" i="34"/>
  <c r="F55" i="34"/>
  <c r="H55" i="34" s="1"/>
  <c r="E54" i="34"/>
  <c r="E53" i="34"/>
  <c r="H52" i="34"/>
  <c r="F52" i="34"/>
  <c r="E51" i="34"/>
  <c r="E50" i="34"/>
  <c r="E49" i="34"/>
  <c r="E48" i="34"/>
  <c r="E47" i="34"/>
  <c r="E46" i="34"/>
  <c r="E45" i="34"/>
  <c r="E44" i="34"/>
  <c r="E43" i="34"/>
  <c r="H42" i="34"/>
  <c r="F42" i="34"/>
  <c r="E41" i="34"/>
  <c r="E40" i="34"/>
  <c r="E39" i="34"/>
  <c r="F38" i="34"/>
  <c r="H38" i="34" s="1"/>
  <c r="E37" i="34"/>
  <c r="E36" i="34"/>
  <c r="E35" i="34"/>
  <c r="E34" i="34"/>
  <c r="E33" i="34"/>
  <c r="E32" i="34"/>
  <c r="E31" i="34"/>
  <c r="E30" i="34"/>
  <c r="E29" i="34"/>
  <c r="F28" i="34"/>
  <c r="H28" i="34" s="1"/>
  <c r="E27" i="34"/>
  <c r="E26" i="34"/>
  <c r="E25" i="34"/>
  <c r="E24" i="34"/>
  <c r="E23" i="34"/>
  <c r="E22" i="34"/>
  <c r="F21" i="34"/>
  <c r="H21" i="34" s="1"/>
  <c r="E20" i="34"/>
  <c r="E19" i="34"/>
  <c r="F18" i="34"/>
  <c r="H18" i="34" s="1"/>
  <c r="E17" i="34"/>
  <c r="E16" i="34"/>
  <c r="F15" i="34"/>
  <c r="H15" i="34" s="1"/>
  <c r="E14" i="34"/>
  <c r="F13" i="34"/>
  <c r="H13" i="34" s="1"/>
  <c r="E12" i="34"/>
  <c r="E11" i="34"/>
  <c r="F10" i="34"/>
  <c r="H10" i="34" s="1"/>
  <c r="E9" i="34"/>
  <c r="E8" i="34"/>
  <c r="H7" i="34"/>
  <c r="F7" i="34"/>
  <c r="E92" i="33"/>
  <c r="E91" i="33"/>
  <c r="E90" i="33"/>
  <c r="E88" i="33"/>
  <c r="E87" i="33"/>
  <c r="E86" i="33"/>
  <c r="E85" i="33"/>
  <c r="E84" i="33"/>
  <c r="E83" i="33"/>
  <c r="E82" i="33"/>
  <c r="E81" i="33"/>
  <c r="E80" i="33"/>
  <c r="E79" i="33"/>
  <c r="E78" i="33"/>
  <c r="E77" i="33"/>
  <c r="F76" i="33"/>
  <c r="H76" i="33" s="1"/>
  <c r="E75" i="33"/>
  <c r="E74" i="33"/>
  <c r="E73" i="33"/>
  <c r="E72" i="33"/>
  <c r="E71" i="33"/>
  <c r="E70" i="33"/>
  <c r="F69" i="33"/>
  <c r="H69" i="33" s="1"/>
  <c r="F65" i="33"/>
  <c r="H65" i="33" s="1"/>
  <c r="E64" i="33"/>
  <c r="E63" i="33"/>
  <c r="E62" i="33"/>
  <c r="E61" i="33"/>
  <c r="E60" i="33"/>
  <c r="E59" i="33"/>
  <c r="E58" i="33"/>
  <c r="E57" i="33"/>
  <c r="E56" i="33"/>
  <c r="F55" i="33"/>
  <c r="H55" i="33" s="1"/>
  <c r="E54" i="33"/>
  <c r="E53" i="33"/>
  <c r="H52" i="33"/>
  <c r="F52" i="33"/>
  <c r="E51" i="33"/>
  <c r="E50" i="33"/>
  <c r="E49" i="33"/>
  <c r="E48" i="33"/>
  <c r="E47" i="33"/>
  <c r="E46" i="33"/>
  <c r="E45" i="33"/>
  <c r="E44" i="33"/>
  <c r="E43" i="33"/>
  <c r="H42" i="33"/>
  <c r="F42" i="33"/>
  <c r="E41" i="33"/>
  <c r="E40" i="33"/>
  <c r="E39" i="33"/>
  <c r="F38" i="33"/>
  <c r="H38" i="33" s="1"/>
  <c r="E37" i="33"/>
  <c r="E36" i="33"/>
  <c r="E35" i="33"/>
  <c r="E34" i="33"/>
  <c r="E33" i="33"/>
  <c r="E32" i="33"/>
  <c r="E31" i="33"/>
  <c r="E30" i="33"/>
  <c r="E29" i="33"/>
  <c r="F28" i="33"/>
  <c r="H28" i="33" s="1"/>
  <c r="E27" i="33"/>
  <c r="E26" i="33"/>
  <c r="E25" i="33"/>
  <c r="E24" i="33"/>
  <c r="E23" i="33"/>
  <c r="E22" i="33"/>
  <c r="H21" i="33"/>
  <c r="F21" i="33"/>
  <c r="E20" i="33"/>
  <c r="E19" i="33"/>
  <c r="F18" i="33"/>
  <c r="H18" i="33" s="1"/>
  <c r="E17" i="33"/>
  <c r="E16" i="33"/>
  <c r="F15" i="33"/>
  <c r="H15" i="33" s="1"/>
  <c r="E14" i="33"/>
  <c r="F13" i="33"/>
  <c r="H13" i="33" s="1"/>
  <c r="E12" i="33"/>
  <c r="E11" i="33"/>
  <c r="F10" i="33"/>
  <c r="H10" i="33" s="1"/>
  <c r="E9" i="33"/>
  <c r="E8" i="33"/>
  <c r="H7" i="33"/>
  <c r="F7" i="33"/>
  <c r="E92" i="32"/>
  <c r="E91" i="32"/>
  <c r="E90" i="32"/>
  <c r="E88" i="32"/>
  <c r="E87" i="32"/>
  <c r="E86" i="32"/>
  <c r="E85" i="32"/>
  <c r="E84" i="32"/>
  <c r="E83" i="32"/>
  <c r="E82" i="32"/>
  <c r="E81" i="32"/>
  <c r="E80" i="32"/>
  <c r="E79" i="32"/>
  <c r="E78" i="32"/>
  <c r="E77" i="32"/>
  <c r="F76" i="32"/>
  <c r="H76" i="32" s="1"/>
  <c r="E75" i="32"/>
  <c r="E74" i="32"/>
  <c r="E73" i="32"/>
  <c r="E72" i="32"/>
  <c r="E71" i="32"/>
  <c r="E70" i="32"/>
  <c r="F69" i="32"/>
  <c r="H69" i="32" s="1"/>
  <c r="H65" i="32"/>
  <c r="E64" i="32"/>
  <c r="E63" i="32"/>
  <c r="E62" i="32"/>
  <c r="E61" i="32"/>
  <c r="E60" i="32"/>
  <c r="E59" i="32"/>
  <c r="E58" i="32"/>
  <c r="E57" i="32"/>
  <c r="E56" i="32"/>
  <c r="F55" i="32"/>
  <c r="H55" i="32" s="1"/>
  <c r="E54" i="32"/>
  <c r="E53" i="32"/>
  <c r="F52" i="32"/>
  <c r="H52" i="32" s="1"/>
  <c r="E51" i="32"/>
  <c r="E50" i="32"/>
  <c r="E49" i="32"/>
  <c r="E48" i="32"/>
  <c r="E47" i="32"/>
  <c r="E46" i="32"/>
  <c r="E45" i="32"/>
  <c r="E44" i="32"/>
  <c r="E43" i="32"/>
  <c r="H42" i="32"/>
  <c r="F42" i="32"/>
  <c r="E41" i="32"/>
  <c r="E40" i="32"/>
  <c r="E39" i="32"/>
  <c r="F38" i="32"/>
  <c r="H38" i="32" s="1"/>
  <c r="E37" i="32"/>
  <c r="E36" i="32"/>
  <c r="E35" i="32"/>
  <c r="E34" i="32"/>
  <c r="E33" i="32"/>
  <c r="E32" i="32"/>
  <c r="E31" i="32"/>
  <c r="E30" i="32"/>
  <c r="E29" i="32"/>
  <c r="F28" i="32"/>
  <c r="H28" i="32" s="1"/>
  <c r="E27" i="32"/>
  <c r="E26" i="32"/>
  <c r="E25" i="32"/>
  <c r="E24" i="32"/>
  <c r="E23" i="32"/>
  <c r="E22" i="32"/>
  <c r="F21" i="32"/>
  <c r="H21" i="32" s="1"/>
  <c r="E20" i="32"/>
  <c r="E19" i="32"/>
  <c r="F18" i="32"/>
  <c r="H18" i="32" s="1"/>
  <c r="E17" i="32"/>
  <c r="E16" i="32"/>
  <c r="F15" i="32"/>
  <c r="H15" i="32" s="1"/>
  <c r="E14" i="32"/>
  <c r="F13" i="32"/>
  <c r="H13" i="32" s="1"/>
  <c r="E12" i="32"/>
  <c r="E11" i="32"/>
  <c r="F10" i="32"/>
  <c r="H10" i="32" s="1"/>
  <c r="E9" i="32"/>
  <c r="E8" i="32"/>
  <c r="F7" i="32"/>
  <c r="H7" i="32" s="1"/>
  <c r="D86" i="31"/>
  <c r="D85" i="31"/>
  <c r="D84" i="31"/>
  <c r="D82" i="31"/>
  <c r="D81" i="31"/>
  <c r="D80" i="31"/>
  <c r="D79" i="31"/>
  <c r="D78" i="31"/>
  <c r="D77" i="31"/>
  <c r="D76" i="31"/>
  <c r="D75" i="31"/>
  <c r="D74" i="31"/>
  <c r="D73" i="31"/>
  <c r="D72" i="31"/>
  <c r="D71" i="31"/>
  <c r="E70" i="31"/>
  <c r="G70" i="31" s="1"/>
  <c r="D69" i="31"/>
  <c r="D68" i="31"/>
  <c r="D67" i="31"/>
  <c r="D66" i="31"/>
  <c r="D65" i="31"/>
  <c r="D64" i="31"/>
  <c r="E63" i="31"/>
  <c r="G63" i="31" s="1"/>
  <c r="D62" i="31"/>
  <c r="D61" i="31"/>
  <c r="D60" i="31"/>
  <c r="E59" i="31"/>
  <c r="G59" i="31" s="1"/>
  <c r="D58" i="31"/>
  <c r="D57" i="31"/>
  <c r="D56" i="31"/>
  <c r="D55" i="31"/>
  <c r="D54" i="31"/>
  <c r="D53" i="31"/>
  <c r="D52" i="31"/>
  <c r="D51" i="31"/>
  <c r="D50" i="31"/>
  <c r="E49" i="31"/>
  <c r="G49" i="31" s="1"/>
  <c r="D47" i="31"/>
  <c r="D46" i="31"/>
  <c r="E45" i="31"/>
  <c r="G45" i="31" s="1"/>
  <c r="D44" i="31"/>
  <c r="D43" i="31"/>
  <c r="E42" i="31"/>
  <c r="G42" i="31" s="1"/>
  <c r="D41" i="31"/>
  <c r="D40" i="31"/>
  <c r="D39" i="31"/>
  <c r="G38" i="31"/>
  <c r="E38" i="31"/>
  <c r="E37" i="31"/>
  <c r="D37" i="31"/>
  <c r="E36" i="31"/>
  <c r="D36" i="31"/>
  <c r="E35" i="31"/>
  <c r="E28" i="31" s="1"/>
  <c r="G28" i="31" s="1"/>
  <c r="D35" i="31"/>
  <c r="D34" i="31"/>
  <c r="D33" i="31"/>
  <c r="D32" i="31"/>
  <c r="D31" i="31"/>
  <c r="D30" i="31"/>
  <c r="D29" i="31"/>
  <c r="D27" i="31"/>
  <c r="D26" i="31"/>
  <c r="D25" i="31"/>
  <c r="D24" i="31"/>
  <c r="D23" i="31"/>
  <c r="D22" i="31"/>
  <c r="D21" i="31"/>
  <c r="D20" i="31"/>
  <c r="D19" i="31"/>
  <c r="E18" i="31"/>
  <c r="G18" i="31" s="1"/>
  <c r="D17" i="31"/>
  <c r="D16" i="31"/>
  <c r="G15" i="31"/>
  <c r="E15" i="31"/>
  <c r="D14" i="31"/>
  <c r="D13" i="31"/>
  <c r="E12" i="31"/>
  <c r="G12" i="31" s="1"/>
  <c r="D11" i="31"/>
  <c r="D10" i="31"/>
  <c r="E9" i="31"/>
  <c r="G9" i="31" s="1"/>
  <c r="D8" i="31"/>
  <c r="E7" i="31"/>
  <c r="G7" i="31" s="1"/>
  <c r="D86" i="30"/>
  <c r="D85" i="30"/>
  <c r="D84" i="30"/>
  <c r="D82" i="30"/>
  <c r="D81" i="30"/>
  <c r="D80" i="30"/>
  <c r="D79" i="30"/>
  <c r="D78" i="30"/>
  <c r="D77" i="30"/>
  <c r="D76" i="30"/>
  <c r="D75" i="30"/>
  <c r="D74" i="30"/>
  <c r="D73" i="30"/>
  <c r="D72" i="30"/>
  <c r="D71" i="30"/>
  <c r="E70" i="30"/>
  <c r="G70" i="30" s="1"/>
  <c r="D69" i="30"/>
  <c r="D68" i="30"/>
  <c r="D67" i="30"/>
  <c r="D66" i="30"/>
  <c r="D65" i="30"/>
  <c r="D64" i="30"/>
  <c r="E63" i="30"/>
  <c r="G63" i="30" s="1"/>
  <c r="D62" i="30"/>
  <c r="D61" i="30"/>
  <c r="D60" i="30"/>
  <c r="E59" i="30"/>
  <c r="G59" i="30" s="1"/>
  <c r="D58" i="30"/>
  <c r="D57" i="30"/>
  <c r="D56" i="30"/>
  <c r="D55" i="30"/>
  <c r="D54" i="30"/>
  <c r="D53" i="30"/>
  <c r="D52" i="30"/>
  <c r="D51" i="30"/>
  <c r="D50" i="30"/>
  <c r="E49" i="30"/>
  <c r="G49" i="30" s="1"/>
  <c r="D47" i="30"/>
  <c r="D46" i="30"/>
  <c r="E45" i="30"/>
  <c r="G45" i="30" s="1"/>
  <c r="D44" i="30"/>
  <c r="D43" i="30"/>
  <c r="E42" i="30"/>
  <c r="G42" i="30" s="1"/>
  <c r="D41" i="30"/>
  <c r="D40" i="30"/>
  <c r="D39" i="30"/>
  <c r="E38" i="30"/>
  <c r="G38" i="30" s="1"/>
  <c r="E37" i="30"/>
  <c r="D37" i="30"/>
  <c r="E36" i="30"/>
  <c r="D36" i="30"/>
  <c r="E35" i="30"/>
  <c r="E28" i="30" s="1"/>
  <c r="G28" i="30" s="1"/>
  <c r="D35" i="30"/>
  <c r="D34" i="30"/>
  <c r="D33" i="30"/>
  <c r="D32" i="30"/>
  <c r="D31" i="30"/>
  <c r="D30" i="30"/>
  <c r="D29" i="30"/>
  <c r="D27" i="30"/>
  <c r="D26" i="30"/>
  <c r="D25" i="30"/>
  <c r="D24" i="30"/>
  <c r="D23" i="30"/>
  <c r="D22" i="30"/>
  <c r="D21" i="30"/>
  <c r="D20" i="30"/>
  <c r="D19" i="30"/>
  <c r="E18" i="30"/>
  <c r="G18" i="30" s="1"/>
  <c r="D17" i="30"/>
  <c r="D16" i="30"/>
  <c r="G15" i="30"/>
  <c r="E15" i="30"/>
  <c r="D14" i="30"/>
  <c r="D13" i="30"/>
  <c r="E12" i="30"/>
  <c r="G12" i="30" s="1"/>
  <c r="D11" i="30"/>
  <c r="D10" i="30"/>
  <c r="E9" i="30"/>
  <c r="G9" i="30" s="1"/>
  <c r="D8" i="30"/>
  <c r="E7" i="30"/>
  <c r="G7" i="30" s="1"/>
  <c r="E45" i="29"/>
  <c r="E42" i="29"/>
  <c r="G42" i="29" s="1"/>
  <c r="E38" i="29"/>
  <c r="E28" i="29"/>
  <c r="E15" i="29"/>
  <c r="E12" i="29"/>
  <c r="G12" i="29" s="1"/>
  <c r="E9" i="29"/>
  <c r="G9" i="29" s="1"/>
  <c r="G15" i="29"/>
  <c r="E18" i="29"/>
  <c r="G18" i="29" s="1"/>
  <c r="E49" i="29"/>
  <c r="E59" i="29"/>
  <c r="D86" i="29"/>
  <c r="D85" i="29"/>
  <c r="D84" i="29"/>
  <c r="D82" i="29"/>
  <c r="D81" i="29"/>
  <c r="D80" i="29"/>
  <c r="D79" i="29"/>
  <c r="D78" i="29"/>
  <c r="D77" i="29"/>
  <c r="D76" i="29"/>
  <c r="D75" i="29"/>
  <c r="D74" i="29"/>
  <c r="D73" i="29"/>
  <c r="D72" i="29"/>
  <c r="D71" i="29"/>
  <c r="E70" i="29"/>
  <c r="G70" i="29" s="1"/>
  <c r="D69" i="29"/>
  <c r="D68" i="29"/>
  <c r="D67" i="29"/>
  <c r="D66" i="29"/>
  <c r="D65" i="29"/>
  <c r="D64" i="29"/>
  <c r="E63" i="29"/>
  <c r="G63" i="29" s="1"/>
  <c r="D62" i="29"/>
  <c r="D61" i="29"/>
  <c r="D60" i="29"/>
  <c r="D58" i="29"/>
  <c r="D57" i="29"/>
  <c r="D56" i="29"/>
  <c r="D55" i="29"/>
  <c r="D54" i="29"/>
  <c r="D53" i="29"/>
  <c r="D52" i="29"/>
  <c r="D51" i="29"/>
  <c r="D50" i="29"/>
  <c r="D47" i="29"/>
  <c r="D46" i="29"/>
  <c r="G45" i="29"/>
  <c r="D44" i="29"/>
  <c r="D43" i="29"/>
  <c r="D41" i="29"/>
  <c r="D40" i="29"/>
  <c r="D39" i="29"/>
  <c r="E37" i="29"/>
  <c r="D37" i="29"/>
  <c r="E36" i="29"/>
  <c r="D36" i="29"/>
  <c r="E35" i="29"/>
  <c r="D35" i="29"/>
  <c r="D34" i="29"/>
  <c r="D33" i="29"/>
  <c r="D32" i="29"/>
  <c r="D31" i="29"/>
  <c r="D30" i="29"/>
  <c r="D29" i="29"/>
  <c r="D27" i="29"/>
  <c r="D26" i="29"/>
  <c r="D25" i="29"/>
  <c r="D24" i="29"/>
  <c r="D23" i="29"/>
  <c r="D22" i="29"/>
  <c r="D21" i="29"/>
  <c r="D20" i="29"/>
  <c r="D19" i="29"/>
  <c r="D17" i="29"/>
  <c r="D16" i="29"/>
  <c r="D14" i="29"/>
  <c r="D13" i="29"/>
  <c r="D11" i="29"/>
  <c r="D10" i="29"/>
  <c r="D8" i="29"/>
  <c r="E7" i="29"/>
  <c r="G7" i="29" s="1"/>
  <c r="F89" i="36" l="1"/>
  <c r="F89" i="35"/>
  <c r="E4" i="35" s="1"/>
  <c r="F89" i="34"/>
  <c r="E4" i="34" s="1"/>
  <c r="F89" i="33"/>
  <c r="E4" i="33" s="1"/>
  <c r="F89" i="32"/>
  <c r="E83" i="31"/>
  <c r="E83" i="30"/>
  <c r="G59" i="29"/>
  <c r="G38" i="29"/>
  <c r="G49" i="29"/>
  <c r="G93" i="28"/>
  <c r="G92" i="28"/>
  <c r="G91" i="28"/>
  <c r="G90" i="28"/>
  <c r="G89" i="28"/>
  <c r="D86" i="28"/>
  <c r="D85" i="28"/>
  <c r="D84" i="28"/>
  <c r="D82" i="28"/>
  <c r="D81" i="28"/>
  <c r="D80" i="28"/>
  <c r="D79" i="28"/>
  <c r="D78" i="28"/>
  <c r="D77" i="28"/>
  <c r="D76" i="28"/>
  <c r="D75" i="28"/>
  <c r="D74" i="28"/>
  <c r="D73" i="28"/>
  <c r="D72" i="28"/>
  <c r="D71" i="28"/>
  <c r="F70" i="28"/>
  <c r="E70" i="28" s="1"/>
  <c r="G70" i="28" s="1"/>
  <c r="D69" i="28"/>
  <c r="D68" i="28"/>
  <c r="D67" i="28"/>
  <c r="D66" i="28"/>
  <c r="D65" i="28"/>
  <c r="D64" i="28"/>
  <c r="F63" i="28"/>
  <c r="E63" i="28" s="1"/>
  <c r="G63" i="28" s="1"/>
  <c r="D62" i="28"/>
  <c r="D61" i="28"/>
  <c r="D60" i="28"/>
  <c r="F59" i="28"/>
  <c r="E59" i="28" s="1"/>
  <c r="G59" i="28" s="1"/>
  <c r="D58" i="28"/>
  <c r="D57" i="28"/>
  <c r="D56" i="28"/>
  <c r="D55" i="28"/>
  <c r="D54" i="28"/>
  <c r="D53" i="28"/>
  <c r="D52" i="28"/>
  <c r="D51" i="28"/>
  <c r="D50" i="28"/>
  <c r="F49" i="28"/>
  <c r="E49" i="28"/>
  <c r="G49" i="28" s="1"/>
  <c r="D47" i="28"/>
  <c r="D46" i="28"/>
  <c r="E45" i="28"/>
  <c r="G45" i="28" s="1"/>
  <c r="D44" i="28"/>
  <c r="D43" i="28"/>
  <c r="E42" i="28"/>
  <c r="G42" i="28" s="1"/>
  <c r="D41" i="28"/>
  <c r="D40" i="28"/>
  <c r="D39" i="28"/>
  <c r="F38" i="28"/>
  <c r="E38" i="28" s="1"/>
  <c r="G38" i="28" s="1"/>
  <c r="E37" i="28"/>
  <c r="D37" i="28"/>
  <c r="E36" i="28"/>
  <c r="D36" i="28"/>
  <c r="E35" i="28"/>
  <c r="D35" i="28"/>
  <c r="D34" i="28"/>
  <c r="D33" i="28"/>
  <c r="D32" i="28"/>
  <c r="D31" i="28"/>
  <c r="D30" i="28"/>
  <c r="D29" i="28"/>
  <c r="F28" i="28"/>
  <c r="D27" i="28"/>
  <c r="D26" i="28"/>
  <c r="D25" i="28"/>
  <c r="D24" i="28"/>
  <c r="D23" i="28"/>
  <c r="D22" i="28"/>
  <c r="D21" i="28"/>
  <c r="D20" i="28"/>
  <c r="D19" i="28"/>
  <c r="F18" i="28"/>
  <c r="E18" i="28" s="1"/>
  <c r="G18" i="28" s="1"/>
  <c r="D17" i="28"/>
  <c r="D16" i="28"/>
  <c r="E15" i="28"/>
  <c r="G15" i="28" s="1"/>
  <c r="D14" i="28"/>
  <c r="D13" i="28"/>
  <c r="E12" i="28"/>
  <c r="G12" i="28" s="1"/>
  <c r="D11" i="28"/>
  <c r="D10" i="28"/>
  <c r="E9" i="28"/>
  <c r="G9" i="28" s="1"/>
  <c r="D8" i="28"/>
  <c r="E7" i="28"/>
  <c r="H54" i="27"/>
  <c r="H53" i="27"/>
  <c r="H52" i="27"/>
  <c r="H51" i="27"/>
  <c r="H50" i="27"/>
  <c r="E46" i="27"/>
  <c r="E45" i="27"/>
  <c r="E44" i="27"/>
  <c r="G43" i="27"/>
  <c r="F43" i="27" s="1"/>
  <c r="H43" i="27" s="1"/>
  <c r="E42" i="27"/>
  <c r="E41" i="27"/>
  <c r="E40" i="27"/>
  <c r="E39" i="27"/>
  <c r="E38" i="27"/>
  <c r="E37" i="27"/>
  <c r="G36" i="27"/>
  <c r="F36" i="27" s="1"/>
  <c r="H36" i="27" s="1"/>
  <c r="F34" i="27"/>
  <c r="F32" i="27" s="1"/>
  <c r="H32" i="27" s="1"/>
  <c r="G32" i="27"/>
  <c r="G28" i="27"/>
  <c r="F28" i="27" s="1"/>
  <c r="H28" i="27" s="1"/>
  <c r="E27" i="27"/>
  <c r="E26" i="27"/>
  <c r="E25" i="27"/>
  <c r="E24" i="27"/>
  <c r="E23" i="27"/>
  <c r="E22" i="27"/>
  <c r="E21" i="27"/>
  <c r="E20" i="27"/>
  <c r="E19" i="27"/>
  <c r="G18" i="27"/>
  <c r="F18" i="27" s="1"/>
  <c r="H18" i="27" s="1"/>
  <c r="E17" i="27"/>
  <c r="E16" i="27"/>
  <c r="H15" i="27"/>
  <c r="F15" i="27"/>
  <c r="E14" i="27"/>
  <c r="F13" i="27"/>
  <c r="H13" i="27" s="1"/>
  <c r="E12" i="27"/>
  <c r="E11" i="27"/>
  <c r="F10" i="27"/>
  <c r="H10" i="27" s="1"/>
  <c r="E9" i="27"/>
  <c r="E8" i="27"/>
  <c r="F7" i="27"/>
  <c r="H54" i="26"/>
  <c r="H53" i="26"/>
  <c r="H52" i="26"/>
  <c r="H51" i="26"/>
  <c r="H50" i="26"/>
  <c r="E46" i="26"/>
  <c r="E45" i="26"/>
  <c r="E44" i="26"/>
  <c r="G43" i="26"/>
  <c r="F43" i="26" s="1"/>
  <c r="H43" i="26" s="1"/>
  <c r="E42" i="26"/>
  <c r="E41" i="26"/>
  <c r="E40" i="26"/>
  <c r="E39" i="26"/>
  <c r="E38" i="26"/>
  <c r="E37" i="26"/>
  <c r="G36" i="26"/>
  <c r="F36" i="26" s="1"/>
  <c r="H36" i="26" s="1"/>
  <c r="F34" i="26"/>
  <c r="G32" i="26"/>
  <c r="G28" i="26"/>
  <c r="F28" i="26" s="1"/>
  <c r="H28" i="26" s="1"/>
  <c r="E27" i="26"/>
  <c r="E26" i="26"/>
  <c r="E25" i="26"/>
  <c r="E24" i="26"/>
  <c r="E23" i="26"/>
  <c r="E22" i="26"/>
  <c r="E21" i="26"/>
  <c r="E20" i="26"/>
  <c r="E19" i="26"/>
  <c r="G18" i="26"/>
  <c r="F18" i="26" s="1"/>
  <c r="H18" i="26" s="1"/>
  <c r="E17" i="26"/>
  <c r="E16" i="26"/>
  <c r="F15" i="26"/>
  <c r="H15" i="26" s="1"/>
  <c r="E14" i="26"/>
  <c r="F13" i="26"/>
  <c r="H13" i="26" s="1"/>
  <c r="E12" i="26"/>
  <c r="E11" i="26"/>
  <c r="F10" i="26"/>
  <c r="H10" i="26" s="1"/>
  <c r="E9" i="26"/>
  <c r="E8" i="26"/>
  <c r="F7" i="26"/>
  <c r="H54" i="25"/>
  <c r="H53" i="25"/>
  <c r="H52" i="25"/>
  <c r="H51" i="25"/>
  <c r="H50" i="25"/>
  <c r="E46" i="25"/>
  <c r="E45" i="25"/>
  <c r="E44" i="25"/>
  <c r="G43" i="25"/>
  <c r="F43" i="25" s="1"/>
  <c r="H43" i="25" s="1"/>
  <c r="E42" i="25"/>
  <c r="E41" i="25"/>
  <c r="E40" i="25"/>
  <c r="E39" i="25"/>
  <c r="E38" i="25"/>
  <c r="E37" i="25"/>
  <c r="G36" i="25"/>
  <c r="F36" i="25" s="1"/>
  <c r="H36" i="25" s="1"/>
  <c r="F34" i="25"/>
  <c r="G32" i="25"/>
  <c r="F32" i="25" s="1"/>
  <c r="H32" i="25" s="1"/>
  <c r="G28" i="25"/>
  <c r="F28" i="25" s="1"/>
  <c r="H28" i="25" s="1"/>
  <c r="E27" i="25"/>
  <c r="E26" i="25"/>
  <c r="E25" i="25"/>
  <c r="E24" i="25"/>
  <c r="E23" i="25"/>
  <c r="E22" i="25"/>
  <c r="E21" i="25"/>
  <c r="E20" i="25"/>
  <c r="E19" i="25"/>
  <c r="G18" i="25"/>
  <c r="F18" i="25" s="1"/>
  <c r="H18" i="25" s="1"/>
  <c r="E17" i="25"/>
  <c r="E16" i="25"/>
  <c r="F15" i="25"/>
  <c r="H15" i="25" s="1"/>
  <c r="E14" i="25"/>
  <c r="F13" i="25"/>
  <c r="H13" i="25" s="1"/>
  <c r="E12" i="25"/>
  <c r="E11" i="25"/>
  <c r="F10" i="25"/>
  <c r="H10" i="25" s="1"/>
  <c r="E9" i="25"/>
  <c r="E8" i="25"/>
  <c r="F7" i="25"/>
  <c r="H54" i="24"/>
  <c r="H53" i="24"/>
  <c r="H52" i="24"/>
  <c r="H51" i="24"/>
  <c r="H50" i="24"/>
  <c r="E46" i="24"/>
  <c r="E45" i="24"/>
  <c r="E44" i="24"/>
  <c r="G43" i="24"/>
  <c r="F43" i="24" s="1"/>
  <c r="H43" i="24" s="1"/>
  <c r="E42" i="24"/>
  <c r="E41" i="24"/>
  <c r="E40" i="24"/>
  <c r="E39" i="24"/>
  <c r="E38" i="24"/>
  <c r="E37" i="24"/>
  <c r="G36" i="24"/>
  <c r="F36" i="24" s="1"/>
  <c r="H36" i="24" s="1"/>
  <c r="F34" i="24"/>
  <c r="F32" i="24" s="1"/>
  <c r="H32" i="24" s="1"/>
  <c r="G32" i="24"/>
  <c r="G28" i="24"/>
  <c r="F28" i="24" s="1"/>
  <c r="H28" i="24" s="1"/>
  <c r="E27" i="24"/>
  <c r="E26" i="24"/>
  <c r="E25" i="24"/>
  <c r="E24" i="24"/>
  <c r="E23" i="24"/>
  <c r="E22" i="24"/>
  <c r="E21" i="24"/>
  <c r="E20" i="24"/>
  <c r="E19" i="24"/>
  <c r="G18" i="24"/>
  <c r="F18" i="24" s="1"/>
  <c r="H18" i="24" s="1"/>
  <c r="E17" i="24"/>
  <c r="E16" i="24"/>
  <c r="F15" i="24"/>
  <c r="H15" i="24" s="1"/>
  <c r="E14" i="24"/>
  <c r="F13" i="24"/>
  <c r="H13" i="24" s="1"/>
  <c r="E12" i="24"/>
  <c r="E11" i="24"/>
  <c r="F10" i="24"/>
  <c r="H10" i="24" s="1"/>
  <c r="E9" i="24"/>
  <c r="E8" i="24"/>
  <c r="F7" i="24"/>
  <c r="H54" i="23"/>
  <c r="H53" i="23"/>
  <c r="H52" i="23"/>
  <c r="H51" i="23"/>
  <c r="H50" i="23"/>
  <c r="E46" i="23"/>
  <c r="E45" i="23"/>
  <c r="E44" i="23"/>
  <c r="G43" i="23"/>
  <c r="F43" i="23" s="1"/>
  <c r="H43" i="23" s="1"/>
  <c r="E42" i="23"/>
  <c r="E41" i="23"/>
  <c r="E40" i="23"/>
  <c r="E39" i="23"/>
  <c r="E38" i="23"/>
  <c r="E37" i="23"/>
  <c r="G36" i="23"/>
  <c r="F36" i="23" s="1"/>
  <c r="H36" i="23" s="1"/>
  <c r="F34" i="23"/>
  <c r="G32" i="23"/>
  <c r="G28" i="23"/>
  <c r="F28" i="23" s="1"/>
  <c r="H28" i="23" s="1"/>
  <c r="E27" i="23"/>
  <c r="E26" i="23"/>
  <c r="E25" i="23"/>
  <c r="E24" i="23"/>
  <c r="E23" i="23"/>
  <c r="E22" i="23"/>
  <c r="E21" i="23"/>
  <c r="E20" i="23"/>
  <c r="E19" i="23"/>
  <c r="G18" i="23"/>
  <c r="F18" i="23" s="1"/>
  <c r="H18" i="23" s="1"/>
  <c r="E17" i="23"/>
  <c r="E16" i="23"/>
  <c r="F15" i="23"/>
  <c r="H15" i="23" s="1"/>
  <c r="E14" i="23"/>
  <c r="F13" i="23"/>
  <c r="H13" i="23" s="1"/>
  <c r="E12" i="23"/>
  <c r="E11" i="23"/>
  <c r="F10" i="23"/>
  <c r="H10" i="23" s="1"/>
  <c r="E9" i="23"/>
  <c r="E8" i="23"/>
  <c r="F7" i="23"/>
  <c r="F15" i="22"/>
  <c r="H15" i="22" s="1"/>
  <c r="F13" i="22"/>
  <c r="F10" i="22"/>
  <c r="H10" i="22" s="1"/>
  <c r="H54" i="22"/>
  <c r="H53" i="22"/>
  <c r="H52" i="22"/>
  <c r="H51" i="22"/>
  <c r="H50" i="22"/>
  <c r="E46" i="22"/>
  <c r="E45" i="22"/>
  <c r="E44" i="22"/>
  <c r="G43" i="22"/>
  <c r="F43" i="22" s="1"/>
  <c r="H43" i="22" s="1"/>
  <c r="E42" i="22"/>
  <c r="E41" i="22"/>
  <c r="E40" i="22"/>
  <c r="E39" i="22"/>
  <c r="E38" i="22"/>
  <c r="E37" i="22"/>
  <c r="G36" i="22"/>
  <c r="F36" i="22" s="1"/>
  <c r="H36" i="22" s="1"/>
  <c r="F34" i="22"/>
  <c r="G32" i="22"/>
  <c r="G28" i="22"/>
  <c r="F28" i="22" s="1"/>
  <c r="H28" i="22" s="1"/>
  <c r="E27" i="22"/>
  <c r="E26" i="22"/>
  <c r="E25" i="22"/>
  <c r="E24" i="22"/>
  <c r="E23" i="22"/>
  <c r="E22" i="22"/>
  <c r="E21" i="22"/>
  <c r="E20" i="22"/>
  <c r="E19" i="22"/>
  <c r="G18" i="22"/>
  <c r="F18" i="22" s="1"/>
  <c r="H18" i="22" s="1"/>
  <c r="E17" i="22"/>
  <c r="E16" i="22"/>
  <c r="E14" i="22"/>
  <c r="H13" i="22"/>
  <c r="E12" i="22"/>
  <c r="E11" i="22"/>
  <c r="E9" i="22"/>
  <c r="E8" i="22"/>
  <c r="F7" i="22"/>
  <c r="F15" i="4"/>
  <c r="F13" i="4"/>
  <c r="F10" i="4"/>
  <c r="F42" i="20"/>
  <c r="H99" i="20"/>
  <c r="H98" i="20"/>
  <c r="H97" i="20"/>
  <c r="H96" i="20"/>
  <c r="F95" i="20"/>
  <c r="H95" i="20" s="1"/>
  <c r="E92" i="20"/>
  <c r="E91" i="20"/>
  <c r="E90" i="20"/>
  <c r="E88" i="20"/>
  <c r="E87" i="20"/>
  <c r="E86" i="20"/>
  <c r="E85" i="20"/>
  <c r="E84" i="20"/>
  <c r="E83" i="20"/>
  <c r="E82" i="20"/>
  <c r="E81" i="20"/>
  <c r="E80" i="20"/>
  <c r="E79" i="20"/>
  <c r="E78" i="20"/>
  <c r="E77" i="20"/>
  <c r="G76" i="20"/>
  <c r="F76" i="20" s="1"/>
  <c r="H76" i="20" s="1"/>
  <c r="E75" i="20"/>
  <c r="E74" i="20"/>
  <c r="E73" i="20"/>
  <c r="E72" i="20"/>
  <c r="E71" i="20"/>
  <c r="E70" i="20"/>
  <c r="G69" i="20"/>
  <c r="F69" i="20" s="1"/>
  <c r="H69" i="20" s="1"/>
  <c r="G65" i="20"/>
  <c r="F65" i="20" s="1"/>
  <c r="H65" i="20" s="1"/>
  <c r="E64" i="20"/>
  <c r="E63" i="20"/>
  <c r="E62" i="20"/>
  <c r="E61" i="20"/>
  <c r="E60" i="20"/>
  <c r="E59" i="20"/>
  <c r="E58" i="20"/>
  <c r="E57" i="20"/>
  <c r="E56" i="20"/>
  <c r="G55" i="20"/>
  <c r="F55" i="20" s="1"/>
  <c r="H55" i="20" s="1"/>
  <c r="E54" i="20"/>
  <c r="E53" i="20"/>
  <c r="F52" i="20"/>
  <c r="H52" i="20" s="1"/>
  <c r="E51" i="20"/>
  <c r="E50" i="20"/>
  <c r="E49" i="20"/>
  <c r="E48" i="20"/>
  <c r="E47" i="20"/>
  <c r="E46" i="20"/>
  <c r="E45" i="20"/>
  <c r="E44" i="20"/>
  <c r="E43" i="20"/>
  <c r="H42" i="20"/>
  <c r="E41" i="20"/>
  <c r="E40" i="20"/>
  <c r="E39" i="20"/>
  <c r="G38" i="20"/>
  <c r="F38" i="20" s="1"/>
  <c r="H38" i="20" s="1"/>
  <c r="E37" i="20"/>
  <c r="E36" i="20"/>
  <c r="E35" i="20"/>
  <c r="E34" i="20"/>
  <c r="E33" i="20"/>
  <c r="E32" i="20"/>
  <c r="E31" i="20"/>
  <c r="E30" i="20"/>
  <c r="E29" i="20"/>
  <c r="G28" i="20"/>
  <c r="F28" i="20" s="1"/>
  <c r="H28" i="20" s="1"/>
  <c r="E27" i="20"/>
  <c r="E26" i="20"/>
  <c r="E25" i="20"/>
  <c r="E24" i="20"/>
  <c r="E23" i="20"/>
  <c r="E22" i="20"/>
  <c r="G21" i="20"/>
  <c r="F21" i="20"/>
  <c r="H21" i="20" s="1"/>
  <c r="E20" i="20"/>
  <c r="E19" i="20"/>
  <c r="F18" i="20"/>
  <c r="H18" i="20" s="1"/>
  <c r="E17" i="20"/>
  <c r="E16" i="20"/>
  <c r="F15" i="20"/>
  <c r="H15" i="20" s="1"/>
  <c r="E14" i="20"/>
  <c r="F13" i="20"/>
  <c r="H13" i="20" s="1"/>
  <c r="E12" i="20"/>
  <c r="E11" i="20"/>
  <c r="F10" i="20"/>
  <c r="H10" i="20" s="1"/>
  <c r="E9" i="20"/>
  <c r="E8" i="20"/>
  <c r="F7" i="20"/>
  <c r="H7" i="20" s="1"/>
  <c r="H99" i="19"/>
  <c r="H98" i="19"/>
  <c r="H97" i="19"/>
  <c r="H96" i="19"/>
  <c r="H95" i="19"/>
  <c r="F95" i="19"/>
  <c r="E92" i="19"/>
  <c r="E91" i="19"/>
  <c r="E90" i="19"/>
  <c r="E88" i="19"/>
  <c r="E87" i="19"/>
  <c r="E86" i="19"/>
  <c r="E85" i="19"/>
  <c r="E84" i="19"/>
  <c r="E83" i="19"/>
  <c r="E82" i="19"/>
  <c r="E81" i="19"/>
  <c r="E80" i="19"/>
  <c r="E79" i="19"/>
  <c r="E78" i="19"/>
  <c r="E77" i="19"/>
  <c r="G76" i="19"/>
  <c r="F76" i="19" s="1"/>
  <c r="H76" i="19" s="1"/>
  <c r="E75" i="19"/>
  <c r="E74" i="19"/>
  <c r="E73" i="19"/>
  <c r="E72" i="19"/>
  <c r="E71" i="19"/>
  <c r="E70" i="19"/>
  <c r="G69" i="19"/>
  <c r="F69" i="19" s="1"/>
  <c r="H69" i="19" s="1"/>
  <c r="G65" i="19"/>
  <c r="F65" i="19" s="1"/>
  <c r="H65" i="19" s="1"/>
  <c r="E64" i="19"/>
  <c r="E63" i="19"/>
  <c r="E62" i="19"/>
  <c r="E61" i="19"/>
  <c r="E60" i="19"/>
  <c r="E59" i="19"/>
  <c r="E58" i="19"/>
  <c r="E57" i="19"/>
  <c r="E56" i="19"/>
  <c r="G55" i="19"/>
  <c r="F55" i="19" s="1"/>
  <c r="H55" i="19" s="1"/>
  <c r="E54" i="19"/>
  <c r="E53" i="19"/>
  <c r="F52" i="19"/>
  <c r="H52" i="19" s="1"/>
  <c r="E51" i="19"/>
  <c r="E50" i="19"/>
  <c r="E49" i="19"/>
  <c r="E48" i="19"/>
  <c r="E47" i="19"/>
  <c r="E46" i="19"/>
  <c r="E45" i="19"/>
  <c r="E44" i="19"/>
  <c r="E43" i="19"/>
  <c r="H42" i="19"/>
  <c r="F42" i="19"/>
  <c r="E41" i="19"/>
  <c r="E40" i="19"/>
  <c r="E39" i="19"/>
  <c r="G38" i="19"/>
  <c r="F38" i="19" s="1"/>
  <c r="H38" i="19" s="1"/>
  <c r="E37" i="19"/>
  <c r="E36" i="19"/>
  <c r="E35" i="19"/>
  <c r="E34" i="19"/>
  <c r="E33" i="19"/>
  <c r="E32" i="19"/>
  <c r="E31" i="19"/>
  <c r="E30" i="19"/>
  <c r="E29" i="19"/>
  <c r="G28" i="19"/>
  <c r="F28" i="19" s="1"/>
  <c r="H28" i="19" s="1"/>
  <c r="E27" i="19"/>
  <c r="E26" i="19"/>
  <c r="E25" i="19"/>
  <c r="E24" i="19"/>
  <c r="E23" i="19"/>
  <c r="E22" i="19"/>
  <c r="G21" i="19"/>
  <c r="F21" i="19"/>
  <c r="H21" i="19" s="1"/>
  <c r="E20" i="19"/>
  <c r="E19" i="19"/>
  <c r="F18" i="19"/>
  <c r="H18" i="19" s="1"/>
  <c r="E17" i="19"/>
  <c r="E16" i="19"/>
  <c r="F15" i="19"/>
  <c r="H15" i="19" s="1"/>
  <c r="E14" i="19"/>
  <c r="F13" i="19"/>
  <c r="H13" i="19" s="1"/>
  <c r="E12" i="19"/>
  <c r="E11" i="19"/>
  <c r="H10" i="19"/>
  <c r="F10" i="19"/>
  <c r="E9" i="19"/>
  <c r="E8" i="19"/>
  <c r="H7" i="19"/>
  <c r="F7" i="19"/>
  <c r="H99" i="18"/>
  <c r="H98" i="18"/>
  <c r="H97" i="18"/>
  <c r="H96" i="18"/>
  <c r="F95" i="18"/>
  <c r="H95" i="18" s="1"/>
  <c r="E92" i="18"/>
  <c r="E91" i="18"/>
  <c r="E90" i="18"/>
  <c r="E88" i="18"/>
  <c r="E87" i="18"/>
  <c r="E86" i="18"/>
  <c r="E85" i="18"/>
  <c r="E84" i="18"/>
  <c r="E83" i="18"/>
  <c r="E82" i="18"/>
  <c r="E81" i="18"/>
  <c r="E80" i="18"/>
  <c r="E79" i="18"/>
  <c r="E78" i="18"/>
  <c r="E77" i="18"/>
  <c r="G76" i="18"/>
  <c r="F76" i="18" s="1"/>
  <c r="H76" i="18" s="1"/>
  <c r="E75" i="18"/>
  <c r="E74" i="18"/>
  <c r="E73" i="18"/>
  <c r="E72" i="18"/>
  <c r="E71" i="18"/>
  <c r="E70" i="18"/>
  <c r="G69" i="18"/>
  <c r="F69" i="18" s="1"/>
  <c r="H69" i="18" s="1"/>
  <c r="G65" i="18"/>
  <c r="F65" i="18"/>
  <c r="H65" i="18" s="1"/>
  <c r="E64" i="18"/>
  <c r="E63" i="18"/>
  <c r="E62" i="18"/>
  <c r="E61" i="18"/>
  <c r="E60" i="18"/>
  <c r="E59" i="18"/>
  <c r="E58" i="18"/>
  <c r="E57" i="18"/>
  <c r="E56" i="18"/>
  <c r="G55" i="18"/>
  <c r="F55" i="18" s="1"/>
  <c r="H55" i="18" s="1"/>
  <c r="E54" i="18"/>
  <c r="E53" i="18"/>
  <c r="F52" i="18"/>
  <c r="H52" i="18" s="1"/>
  <c r="E51" i="18"/>
  <c r="E50" i="18"/>
  <c r="E49" i="18"/>
  <c r="E48" i="18"/>
  <c r="E47" i="18"/>
  <c r="E46" i="18"/>
  <c r="E45" i="18"/>
  <c r="E44" i="18"/>
  <c r="E43" i="18"/>
  <c r="F42" i="18"/>
  <c r="H42" i="18" s="1"/>
  <c r="E41" i="18"/>
  <c r="E40" i="18"/>
  <c r="E39" i="18"/>
  <c r="G38" i="18"/>
  <c r="F38" i="18" s="1"/>
  <c r="H38" i="18" s="1"/>
  <c r="E37" i="18"/>
  <c r="E36" i="18"/>
  <c r="E35" i="18"/>
  <c r="E34" i="18"/>
  <c r="E33" i="18"/>
  <c r="E32" i="18"/>
  <c r="E31" i="18"/>
  <c r="E30" i="18"/>
  <c r="E29" i="18"/>
  <c r="G28" i="18"/>
  <c r="F28" i="18" s="1"/>
  <c r="H28" i="18" s="1"/>
  <c r="E27" i="18"/>
  <c r="E26" i="18"/>
  <c r="E25" i="18"/>
  <c r="E24" i="18"/>
  <c r="E23" i="18"/>
  <c r="E22" i="18"/>
  <c r="G21" i="18"/>
  <c r="F21" i="18" s="1"/>
  <c r="H21" i="18" s="1"/>
  <c r="E20" i="18"/>
  <c r="E19" i="18"/>
  <c r="F18" i="18"/>
  <c r="H18" i="18" s="1"/>
  <c r="E17" i="18"/>
  <c r="E16" i="18"/>
  <c r="F15" i="18"/>
  <c r="H15" i="18" s="1"/>
  <c r="E14" i="18"/>
  <c r="F13" i="18"/>
  <c r="H13" i="18" s="1"/>
  <c r="E12" i="18"/>
  <c r="E11" i="18"/>
  <c r="F10" i="18"/>
  <c r="H10" i="18" s="1"/>
  <c r="E9" i="18"/>
  <c r="E8" i="18"/>
  <c r="F7" i="18"/>
  <c r="H7" i="18" s="1"/>
  <c r="H99" i="17"/>
  <c r="H98" i="17"/>
  <c r="H97" i="17"/>
  <c r="H96" i="17"/>
  <c r="F95" i="17"/>
  <c r="H95" i="17" s="1"/>
  <c r="E92" i="17"/>
  <c r="E91" i="17"/>
  <c r="E90" i="17"/>
  <c r="E88" i="17"/>
  <c r="E87" i="17"/>
  <c r="E86" i="17"/>
  <c r="E85" i="17"/>
  <c r="E84" i="17"/>
  <c r="E83" i="17"/>
  <c r="E82" i="17"/>
  <c r="E81" i="17"/>
  <c r="E80" i="17"/>
  <c r="E79" i="17"/>
  <c r="E78" i="17"/>
  <c r="E77" i="17"/>
  <c r="G76" i="17"/>
  <c r="F76" i="17" s="1"/>
  <c r="H76" i="17" s="1"/>
  <c r="E75" i="17"/>
  <c r="E74" i="17"/>
  <c r="E73" i="17"/>
  <c r="E72" i="17"/>
  <c r="E71" i="17"/>
  <c r="E70" i="17"/>
  <c r="G69" i="17"/>
  <c r="F69" i="17" s="1"/>
  <c r="H69" i="17" s="1"/>
  <c r="G65" i="17"/>
  <c r="F65" i="17" s="1"/>
  <c r="H65" i="17" s="1"/>
  <c r="E64" i="17"/>
  <c r="E63" i="17"/>
  <c r="E62" i="17"/>
  <c r="E61" i="17"/>
  <c r="E60" i="17"/>
  <c r="E59" i="17"/>
  <c r="E58" i="17"/>
  <c r="E57" i="17"/>
  <c r="E56" i="17"/>
  <c r="G55" i="17"/>
  <c r="F55" i="17" s="1"/>
  <c r="H55" i="17" s="1"/>
  <c r="E54" i="17"/>
  <c r="E53" i="17"/>
  <c r="F52" i="17"/>
  <c r="H52" i="17" s="1"/>
  <c r="E51" i="17"/>
  <c r="E50" i="17"/>
  <c r="E49" i="17"/>
  <c r="E48" i="17"/>
  <c r="E47" i="17"/>
  <c r="E46" i="17"/>
  <c r="E45" i="17"/>
  <c r="E44" i="17"/>
  <c r="E43" i="17"/>
  <c r="F42" i="17"/>
  <c r="H42" i="17" s="1"/>
  <c r="E41" i="17"/>
  <c r="E40" i="17"/>
  <c r="E39" i="17"/>
  <c r="G38" i="17"/>
  <c r="F38" i="17" s="1"/>
  <c r="H38" i="17" s="1"/>
  <c r="E37" i="17"/>
  <c r="E36" i="17"/>
  <c r="E35" i="17"/>
  <c r="E34" i="17"/>
  <c r="E33" i="17"/>
  <c r="E32" i="17"/>
  <c r="E31" i="17"/>
  <c r="E30" i="17"/>
  <c r="E29" i="17"/>
  <c r="G28" i="17"/>
  <c r="F28" i="17" s="1"/>
  <c r="H28" i="17" s="1"/>
  <c r="E27" i="17"/>
  <c r="E26" i="17"/>
  <c r="E25" i="17"/>
  <c r="E24" i="17"/>
  <c r="E23" i="17"/>
  <c r="E22" i="17"/>
  <c r="G21" i="17"/>
  <c r="F21" i="17"/>
  <c r="H21" i="17" s="1"/>
  <c r="E20" i="17"/>
  <c r="E19" i="17"/>
  <c r="F18" i="17"/>
  <c r="H18" i="17" s="1"/>
  <c r="E17" i="17"/>
  <c r="E16" i="17"/>
  <c r="F15" i="17"/>
  <c r="H15" i="17" s="1"/>
  <c r="E14" i="17"/>
  <c r="F13" i="17"/>
  <c r="H13" i="17" s="1"/>
  <c r="E12" i="17"/>
  <c r="E11" i="17"/>
  <c r="F10" i="17"/>
  <c r="H10" i="17" s="1"/>
  <c r="E9" i="17"/>
  <c r="E8" i="17"/>
  <c r="F7" i="17"/>
  <c r="H7" i="17" s="1"/>
  <c r="F7" i="2"/>
  <c r="F7" i="14"/>
  <c r="F7" i="15"/>
  <c r="F7" i="16"/>
  <c r="H7" i="16" s="1"/>
  <c r="H99" i="16"/>
  <c r="H98" i="16"/>
  <c r="H97" i="16"/>
  <c r="H96" i="16"/>
  <c r="F95" i="16"/>
  <c r="H95" i="16" s="1"/>
  <c r="E92" i="16"/>
  <c r="E91" i="16"/>
  <c r="E90" i="16"/>
  <c r="E88" i="16"/>
  <c r="E87" i="16"/>
  <c r="E86" i="16"/>
  <c r="E85" i="16"/>
  <c r="E84" i="16"/>
  <c r="E83" i="16"/>
  <c r="E82" i="16"/>
  <c r="E81" i="16"/>
  <c r="E80" i="16"/>
  <c r="E79" i="16"/>
  <c r="E78" i="16"/>
  <c r="E77" i="16"/>
  <c r="G76" i="16"/>
  <c r="F76" i="16" s="1"/>
  <c r="H76" i="16" s="1"/>
  <c r="E75" i="16"/>
  <c r="E74" i="16"/>
  <c r="E73" i="16"/>
  <c r="E72" i="16"/>
  <c r="E71" i="16"/>
  <c r="E70" i="16"/>
  <c r="G69" i="16"/>
  <c r="F69" i="16" s="1"/>
  <c r="H69" i="16" s="1"/>
  <c r="G65" i="16"/>
  <c r="F65" i="16" s="1"/>
  <c r="H65" i="16" s="1"/>
  <c r="E64" i="16"/>
  <c r="E63" i="16"/>
  <c r="E62" i="16"/>
  <c r="E61" i="16"/>
  <c r="E60" i="16"/>
  <c r="E59" i="16"/>
  <c r="E58" i="16"/>
  <c r="E57" i="16"/>
  <c r="E56" i="16"/>
  <c r="G55" i="16"/>
  <c r="F55" i="16" s="1"/>
  <c r="H55" i="16" s="1"/>
  <c r="E54" i="16"/>
  <c r="E53" i="16"/>
  <c r="F52" i="16"/>
  <c r="H52" i="16" s="1"/>
  <c r="E51" i="16"/>
  <c r="E50" i="16"/>
  <c r="E49" i="16"/>
  <c r="E48" i="16"/>
  <c r="E47" i="16"/>
  <c r="E46" i="16"/>
  <c r="E45" i="16"/>
  <c r="E44" i="16"/>
  <c r="E43" i="16"/>
  <c r="H42" i="16"/>
  <c r="F42" i="16"/>
  <c r="E41" i="16"/>
  <c r="E40" i="16"/>
  <c r="E39" i="16"/>
  <c r="G38" i="16"/>
  <c r="F38" i="16" s="1"/>
  <c r="H38" i="16" s="1"/>
  <c r="E37" i="16"/>
  <c r="E36" i="16"/>
  <c r="E35" i="16"/>
  <c r="E34" i="16"/>
  <c r="E33" i="16"/>
  <c r="E32" i="16"/>
  <c r="E31" i="16"/>
  <c r="E30" i="16"/>
  <c r="E29" i="16"/>
  <c r="G28" i="16"/>
  <c r="E27" i="16"/>
  <c r="E26" i="16"/>
  <c r="E25" i="16"/>
  <c r="E24" i="16"/>
  <c r="E23" i="16"/>
  <c r="E22" i="16"/>
  <c r="G21" i="16"/>
  <c r="F21" i="16" s="1"/>
  <c r="H21" i="16" s="1"/>
  <c r="E20" i="16"/>
  <c r="E19" i="16"/>
  <c r="F18" i="16"/>
  <c r="H18" i="16" s="1"/>
  <c r="E17" i="16"/>
  <c r="E16" i="16"/>
  <c r="F15" i="16"/>
  <c r="H15" i="16" s="1"/>
  <c r="E14" i="16"/>
  <c r="F13" i="16"/>
  <c r="H13" i="16" s="1"/>
  <c r="E12" i="16"/>
  <c r="E11" i="16"/>
  <c r="F10" i="16"/>
  <c r="H10" i="16" s="1"/>
  <c r="E9" i="16"/>
  <c r="E8" i="16"/>
  <c r="H99" i="15"/>
  <c r="H98" i="15"/>
  <c r="H97" i="15"/>
  <c r="H96" i="15"/>
  <c r="F95" i="15"/>
  <c r="H95" i="15" s="1"/>
  <c r="E92" i="15"/>
  <c r="E91" i="15"/>
  <c r="E90" i="15"/>
  <c r="E88" i="15"/>
  <c r="E87" i="15"/>
  <c r="E86" i="15"/>
  <c r="E85" i="15"/>
  <c r="E84" i="15"/>
  <c r="E83" i="15"/>
  <c r="E82" i="15"/>
  <c r="E81" i="15"/>
  <c r="E80" i="15"/>
  <c r="E79" i="15"/>
  <c r="E78" i="15"/>
  <c r="E77" i="15"/>
  <c r="G76" i="15"/>
  <c r="F76" i="15" s="1"/>
  <c r="H76" i="15" s="1"/>
  <c r="E75" i="15"/>
  <c r="E74" i="15"/>
  <c r="E73" i="15"/>
  <c r="E72" i="15"/>
  <c r="E71" i="15"/>
  <c r="E70" i="15"/>
  <c r="G69" i="15"/>
  <c r="F69" i="15" s="1"/>
  <c r="H69" i="15" s="1"/>
  <c r="G65" i="15"/>
  <c r="F65" i="15" s="1"/>
  <c r="H65" i="15" s="1"/>
  <c r="E64" i="15"/>
  <c r="E63" i="15"/>
  <c r="E62" i="15"/>
  <c r="E61" i="15"/>
  <c r="E60" i="15"/>
  <c r="E59" i="15"/>
  <c r="E58" i="15"/>
  <c r="E57" i="15"/>
  <c r="E56" i="15"/>
  <c r="G55" i="15"/>
  <c r="F55" i="15" s="1"/>
  <c r="H55" i="15" s="1"/>
  <c r="E54" i="15"/>
  <c r="E53" i="15"/>
  <c r="F52" i="15"/>
  <c r="H52" i="15" s="1"/>
  <c r="E51" i="15"/>
  <c r="E50" i="15"/>
  <c r="E49" i="15"/>
  <c r="E48" i="15"/>
  <c r="E47" i="15"/>
  <c r="E46" i="15"/>
  <c r="E45" i="15"/>
  <c r="E44" i="15"/>
  <c r="E43" i="15"/>
  <c r="H42" i="15"/>
  <c r="F42" i="15"/>
  <c r="E41" i="15"/>
  <c r="E40" i="15"/>
  <c r="E39" i="15"/>
  <c r="G38" i="15"/>
  <c r="F38" i="15" s="1"/>
  <c r="H38" i="15" s="1"/>
  <c r="E37" i="15"/>
  <c r="E36" i="15"/>
  <c r="E35" i="15"/>
  <c r="E34" i="15"/>
  <c r="E33" i="15"/>
  <c r="E32" i="15"/>
  <c r="E31" i="15"/>
  <c r="E30" i="15"/>
  <c r="E29" i="15"/>
  <c r="G28" i="15"/>
  <c r="E27" i="15"/>
  <c r="E26" i="15"/>
  <c r="E25" i="15"/>
  <c r="E24" i="15"/>
  <c r="E23" i="15"/>
  <c r="E22" i="15"/>
  <c r="G21" i="15"/>
  <c r="F21" i="15" s="1"/>
  <c r="H21" i="15" s="1"/>
  <c r="E20" i="15"/>
  <c r="E19" i="15"/>
  <c r="F18" i="15"/>
  <c r="H18" i="15" s="1"/>
  <c r="E17" i="15"/>
  <c r="E16" i="15"/>
  <c r="F15" i="15"/>
  <c r="H15" i="15" s="1"/>
  <c r="E14" i="15"/>
  <c r="F13" i="15"/>
  <c r="H13" i="15" s="1"/>
  <c r="E12" i="15"/>
  <c r="E11" i="15"/>
  <c r="H10" i="15"/>
  <c r="F10" i="15"/>
  <c r="E9" i="15"/>
  <c r="E8" i="15"/>
  <c r="H7" i="15"/>
  <c r="F36" i="14"/>
  <c r="F37" i="14"/>
  <c r="H99" i="14"/>
  <c r="H98" i="14"/>
  <c r="H97" i="14"/>
  <c r="H96" i="14"/>
  <c r="F95" i="14"/>
  <c r="H95" i="14" s="1"/>
  <c r="E92" i="14"/>
  <c r="E91" i="14"/>
  <c r="E90" i="14"/>
  <c r="E88" i="14"/>
  <c r="E87" i="14"/>
  <c r="E86" i="14"/>
  <c r="E85" i="14"/>
  <c r="E84" i="14"/>
  <c r="E83" i="14"/>
  <c r="E82" i="14"/>
  <c r="E81" i="14"/>
  <c r="E80" i="14"/>
  <c r="E79" i="14"/>
  <c r="E78" i="14"/>
  <c r="E77" i="14"/>
  <c r="G76" i="14"/>
  <c r="F76" i="14" s="1"/>
  <c r="H76" i="14" s="1"/>
  <c r="E75" i="14"/>
  <c r="E74" i="14"/>
  <c r="E73" i="14"/>
  <c r="E72" i="14"/>
  <c r="E71" i="14"/>
  <c r="E70" i="14"/>
  <c r="G69" i="14"/>
  <c r="F69" i="14" s="1"/>
  <c r="H69" i="14" s="1"/>
  <c r="G65" i="14"/>
  <c r="F65" i="14" s="1"/>
  <c r="H65" i="14" s="1"/>
  <c r="E64" i="14"/>
  <c r="E63" i="14"/>
  <c r="E62" i="14"/>
  <c r="E61" i="14"/>
  <c r="E60" i="14"/>
  <c r="E59" i="14"/>
  <c r="E58" i="14"/>
  <c r="E57" i="14"/>
  <c r="E56" i="14"/>
  <c r="G55" i="14"/>
  <c r="F55" i="14" s="1"/>
  <c r="H55" i="14" s="1"/>
  <c r="E54" i="14"/>
  <c r="E53" i="14"/>
  <c r="F52" i="14"/>
  <c r="H52" i="14" s="1"/>
  <c r="E51" i="14"/>
  <c r="E50" i="14"/>
  <c r="E49" i="14"/>
  <c r="E48" i="14"/>
  <c r="E47" i="14"/>
  <c r="E46" i="14"/>
  <c r="E45" i="14"/>
  <c r="E44" i="14"/>
  <c r="E43" i="14"/>
  <c r="F42" i="14"/>
  <c r="H42" i="14" s="1"/>
  <c r="E41" i="14"/>
  <c r="E40" i="14"/>
  <c r="E39" i="14"/>
  <c r="G38" i="14"/>
  <c r="F38" i="14"/>
  <c r="H38" i="14" s="1"/>
  <c r="E37" i="14"/>
  <c r="E36" i="14"/>
  <c r="E35" i="14"/>
  <c r="E34" i="14"/>
  <c r="E33" i="14"/>
  <c r="E32" i="14"/>
  <c r="E31" i="14"/>
  <c r="E30" i="14"/>
  <c r="E29" i="14"/>
  <c r="G28" i="14"/>
  <c r="E27" i="14"/>
  <c r="E26" i="14"/>
  <c r="E25" i="14"/>
  <c r="E24" i="14"/>
  <c r="E23" i="14"/>
  <c r="E22" i="14"/>
  <c r="G21" i="14"/>
  <c r="F21" i="14" s="1"/>
  <c r="H21" i="14" s="1"/>
  <c r="E20" i="14"/>
  <c r="E19" i="14"/>
  <c r="F18" i="14"/>
  <c r="H18" i="14" s="1"/>
  <c r="E17" i="14"/>
  <c r="E16" i="14"/>
  <c r="F15" i="14"/>
  <c r="H15" i="14" s="1"/>
  <c r="E14" i="14"/>
  <c r="F13" i="14"/>
  <c r="H13" i="14" s="1"/>
  <c r="E12" i="14"/>
  <c r="E11" i="14"/>
  <c r="F10" i="14"/>
  <c r="H10" i="14" s="1"/>
  <c r="E9" i="14"/>
  <c r="E8" i="14"/>
  <c r="H7" i="14"/>
  <c r="F95" i="2"/>
  <c r="F42" i="2"/>
  <c r="G93" i="12"/>
  <c r="G92" i="12"/>
  <c r="G91" i="12"/>
  <c r="G90" i="12"/>
  <c r="G89" i="12"/>
  <c r="D86" i="12"/>
  <c r="D85" i="12"/>
  <c r="D84" i="12"/>
  <c r="D82" i="12"/>
  <c r="D81" i="12"/>
  <c r="D80" i="12"/>
  <c r="D79" i="12"/>
  <c r="D78" i="12"/>
  <c r="D77" i="12"/>
  <c r="D76" i="12"/>
  <c r="D75" i="12"/>
  <c r="D74" i="12"/>
  <c r="D73" i="12"/>
  <c r="D72" i="12"/>
  <c r="D71" i="12"/>
  <c r="F70" i="12"/>
  <c r="E70" i="12" s="1"/>
  <c r="G70" i="12" s="1"/>
  <c r="D69" i="12"/>
  <c r="D68" i="12"/>
  <c r="D67" i="12"/>
  <c r="D66" i="12"/>
  <c r="D65" i="12"/>
  <c r="D64" i="12"/>
  <c r="F63" i="12"/>
  <c r="E63" i="12" s="1"/>
  <c r="G63" i="12" s="1"/>
  <c r="D62" i="12"/>
  <c r="D61" i="12"/>
  <c r="D60" i="12"/>
  <c r="F59" i="12"/>
  <c r="E59" i="12" s="1"/>
  <c r="G59" i="12" s="1"/>
  <c r="D58" i="12"/>
  <c r="D57" i="12"/>
  <c r="D56" i="12"/>
  <c r="D55" i="12"/>
  <c r="D54" i="12"/>
  <c r="D53" i="12"/>
  <c r="D52" i="12"/>
  <c r="D51" i="12"/>
  <c r="D50" i="12"/>
  <c r="F49" i="12"/>
  <c r="E49" i="12" s="1"/>
  <c r="G49" i="12" s="1"/>
  <c r="D47" i="12"/>
  <c r="D46" i="12"/>
  <c r="E45" i="12"/>
  <c r="G45" i="12" s="1"/>
  <c r="D44" i="12"/>
  <c r="D43" i="12"/>
  <c r="E42" i="12"/>
  <c r="G42" i="12" s="1"/>
  <c r="D41" i="12"/>
  <c r="D40" i="12"/>
  <c r="D39" i="12"/>
  <c r="F38" i="12"/>
  <c r="E38" i="12" s="1"/>
  <c r="G38" i="12" s="1"/>
  <c r="E37" i="12"/>
  <c r="D37" i="12"/>
  <c r="E36" i="12"/>
  <c r="D36" i="12"/>
  <c r="E35" i="12"/>
  <c r="D35" i="12"/>
  <c r="D34" i="12"/>
  <c r="D33" i="12"/>
  <c r="D32" i="12"/>
  <c r="D31" i="12"/>
  <c r="D30" i="12"/>
  <c r="D29" i="12"/>
  <c r="F28" i="12"/>
  <c r="D27" i="12"/>
  <c r="D26" i="12"/>
  <c r="D25" i="12"/>
  <c r="D24" i="12"/>
  <c r="D23" i="12"/>
  <c r="D22" i="12"/>
  <c r="D21" i="12"/>
  <c r="D20" i="12"/>
  <c r="D19" i="12"/>
  <c r="F18" i="12"/>
  <c r="E18" i="12" s="1"/>
  <c r="G18" i="12" s="1"/>
  <c r="D17" i="12"/>
  <c r="D16" i="12"/>
  <c r="G15" i="12"/>
  <c r="E15" i="12"/>
  <c r="D14" i="12"/>
  <c r="D13" i="12"/>
  <c r="E12" i="12"/>
  <c r="G12" i="12" s="1"/>
  <c r="D11" i="12"/>
  <c r="D10" i="12"/>
  <c r="E9" i="12"/>
  <c r="G9" i="12" s="1"/>
  <c r="D8" i="12"/>
  <c r="E7" i="12"/>
  <c r="E37" i="11"/>
  <c r="E36" i="11"/>
  <c r="E35" i="11"/>
  <c r="D86" i="11"/>
  <c r="D85" i="11"/>
  <c r="D84" i="11"/>
  <c r="D82" i="11"/>
  <c r="D81" i="11"/>
  <c r="D80" i="11"/>
  <c r="D79" i="11"/>
  <c r="D78" i="11"/>
  <c r="D77" i="11"/>
  <c r="D76" i="11"/>
  <c r="D75" i="11"/>
  <c r="D74" i="11"/>
  <c r="D73" i="11"/>
  <c r="D72" i="11"/>
  <c r="D71" i="11"/>
  <c r="F70" i="11"/>
  <c r="E70" i="11" s="1"/>
  <c r="G70" i="11" s="1"/>
  <c r="D69" i="11"/>
  <c r="D68" i="11"/>
  <c r="D67" i="11"/>
  <c r="D66" i="11"/>
  <c r="D65" i="11"/>
  <c r="D64" i="11"/>
  <c r="F63" i="11"/>
  <c r="E63" i="11" s="1"/>
  <c r="G63" i="11" s="1"/>
  <c r="D62" i="11"/>
  <c r="D61" i="11"/>
  <c r="D60" i="11"/>
  <c r="F59" i="11"/>
  <c r="E59" i="11" s="1"/>
  <c r="G59" i="11" s="1"/>
  <c r="D58" i="11"/>
  <c r="D57" i="11"/>
  <c r="D56" i="11"/>
  <c r="D55" i="11"/>
  <c r="D54" i="11"/>
  <c r="D53" i="11"/>
  <c r="D52" i="11"/>
  <c r="D51" i="11"/>
  <c r="D50" i="11"/>
  <c r="F49" i="11"/>
  <c r="E49" i="11" s="1"/>
  <c r="G49" i="11" s="1"/>
  <c r="D47" i="11"/>
  <c r="D46" i="11"/>
  <c r="E45" i="11"/>
  <c r="G45" i="11" s="1"/>
  <c r="D44" i="11"/>
  <c r="D43" i="11"/>
  <c r="E42" i="11"/>
  <c r="G42" i="11" s="1"/>
  <c r="D41" i="11"/>
  <c r="D40" i="11"/>
  <c r="D39" i="11"/>
  <c r="F38" i="11"/>
  <c r="E38" i="11" s="1"/>
  <c r="G38" i="11" s="1"/>
  <c r="D37" i="11"/>
  <c r="D36" i="11"/>
  <c r="D35" i="11"/>
  <c r="D34" i="11"/>
  <c r="D33" i="11"/>
  <c r="D32" i="11"/>
  <c r="D31" i="11"/>
  <c r="D30" i="11"/>
  <c r="D29" i="11"/>
  <c r="F28" i="11"/>
  <c r="D27" i="11"/>
  <c r="D26" i="11"/>
  <c r="D25" i="11"/>
  <c r="D24" i="11"/>
  <c r="D23" i="11"/>
  <c r="D22" i="11"/>
  <c r="D21" i="11"/>
  <c r="D20" i="11"/>
  <c r="D19" i="11"/>
  <c r="F18" i="11"/>
  <c r="E18" i="11" s="1"/>
  <c r="G18" i="11" s="1"/>
  <c r="D17" i="11"/>
  <c r="D16" i="11"/>
  <c r="G15" i="11"/>
  <c r="E15" i="11"/>
  <c r="D14" i="11"/>
  <c r="D13" i="11"/>
  <c r="E12" i="11"/>
  <c r="G12" i="11" s="1"/>
  <c r="D11" i="11"/>
  <c r="D10" i="11"/>
  <c r="E9" i="11"/>
  <c r="G9" i="11" s="1"/>
  <c r="D8" i="11"/>
  <c r="E7" i="11"/>
  <c r="G7" i="11" s="1"/>
  <c r="G93" i="10"/>
  <c r="G92" i="10"/>
  <c r="G91" i="10"/>
  <c r="G90" i="10"/>
  <c r="G89" i="10"/>
  <c r="D86" i="10"/>
  <c r="D85" i="10"/>
  <c r="D84" i="10"/>
  <c r="D82" i="10"/>
  <c r="D81" i="10"/>
  <c r="D80" i="10"/>
  <c r="D79" i="10"/>
  <c r="D78" i="10"/>
  <c r="D77" i="10"/>
  <c r="D76" i="10"/>
  <c r="D75" i="10"/>
  <c r="D74" i="10"/>
  <c r="D73" i="10"/>
  <c r="D72" i="10"/>
  <c r="D71" i="10"/>
  <c r="F70" i="10"/>
  <c r="E70" i="10" s="1"/>
  <c r="G70" i="10" s="1"/>
  <c r="D69" i="10"/>
  <c r="D68" i="10"/>
  <c r="D67" i="10"/>
  <c r="D66" i="10"/>
  <c r="D65" i="10"/>
  <c r="D64" i="10"/>
  <c r="F63" i="10"/>
  <c r="E63" i="10" s="1"/>
  <c r="G63" i="10" s="1"/>
  <c r="D62" i="10"/>
  <c r="D61" i="10"/>
  <c r="D60" i="10"/>
  <c r="F59" i="10"/>
  <c r="E59" i="10" s="1"/>
  <c r="G59" i="10" s="1"/>
  <c r="D58" i="10"/>
  <c r="D57" i="10"/>
  <c r="D56" i="10"/>
  <c r="D55" i="10"/>
  <c r="D54" i="10"/>
  <c r="D53" i="10"/>
  <c r="D52" i="10"/>
  <c r="D51" i="10"/>
  <c r="D50" i="10"/>
  <c r="F49" i="10"/>
  <c r="E49" i="10"/>
  <c r="G49" i="10" s="1"/>
  <c r="D47" i="10"/>
  <c r="D46" i="10"/>
  <c r="E45" i="10"/>
  <c r="G45" i="10" s="1"/>
  <c r="D44" i="10"/>
  <c r="D43" i="10"/>
  <c r="E42" i="10"/>
  <c r="G42" i="10" s="1"/>
  <c r="D41" i="10"/>
  <c r="D40" i="10"/>
  <c r="D39" i="10"/>
  <c r="F38" i="10"/>
  <c r="E38" i="10" s="1"/>
  <c r="G38" i="10" s="1"/>
  <c r="D37" i="10"/>
  <c r="D36" i="10"/>
  <c r="D35" i="10"/>
  <c r="D34" i="10"/>
  <c r="D33" i="10"/>
  <c r="D32" i="10"/>
  <c r="D31" i="10"/>
  <c r="D30" i="10"/>
  <c r="D29" i="10"/>
  <c r="F28" i="10"/>
  <c r="E28" i="10" s="1"/>
  <c r="G28" i="10" s="1"/>
  <c r="D27" i="10"/>
  <c r="D26" i="10"/>
  <c r="D25" i="10"/>
  <c r="D24" i="10"/>
  <c r="D23" i="10"/>
  <c r="D22" i="10"/>
  <c r="D21" i="10"/>
  <c r="D20" i="10"/>
  <c r="D19" i="10"/>
  <c r="F18" i="10"/>
  <c r="E18" i="10" s="1"/>
  <c r="G18" i="10" s="1"/>
  <c r="D17" i="10"/>
  <c r="D16" i="10"/>
  <c r="G15" i="10"/>
  <c r="E15" i="10"/>
  <c r="D14" i="10"/>
  <c r="D13" i="10"/>
  <c r="G12" i="10"/>
  <c r="E12" i="10"/>
  <c r="D11" i="10"/>
  <c r="D10" i="10"/>
  <c r="E9" i="10"/>
  <c r="G9" i="10" s="1"/>
  <c r="D8" i="10"/>
  <c r="E7" i="10"/>
  <c r="G7" i="10" s="1"/>
  <c r="E35" i="8"/>
  <c r="G93" i="9"/>
  <c r="G92" i="9"/>
  <c r="G91" i="9"/>
  <c r="G90" i="9"/>
  <c r="G89" i="9"/>
  <c r="D86" i="9"/>
  <c r="D85" i="9"/>
  <c r="D84" i="9"/>
  <c r="D82" i="9"/>
  <c r="D81" i="9"/>
  <c r="D80" i="9"/>
  <c r="D79" i="9"/>
  <c r="D78" i="9"/>
  <c r="D77" i="9"/>
  <c r="D76" i="9"/>
  <c r="D75" i="9"/>
  <c r="D74" i="9"/>
  <c r="D73" i="9"/>
  <c r="D72" i="9"/>
  <c r="D71" i="9"/>
  <c r="F70" i="9"/>
  <c r="E70" i="9" s="1"/>
  <c r="G70" i="9" s="1"/>
  <c r="D69" i="9"/>
  <c r="D68" i="9"/>
  <c r="D67" i="9"/>
  <c r="D66" i="9"/>
  <c r="D65" i="9"/>
  <c r="D64" i="9"/>
  <c r="F63" i="9"/>
  <c r="E63" i="9" s="1"/>
  <c r="G63" i="9" s="1"/>
  <c r="D62" i="9"/>
  <c r="D61" i="9"/>
  <c r="D60" i="9"/>
  <c r="F59" i="9"/>
  <c r="E59" i="9" s="1"/>
  <c r="G59" i="9" s="1"/>
  <c r="D58" i="9"/>
  <c r="D57" i="9"/>
  <c r="D56" i="9"/>
  <c r="D55" i="9"/>
  <c r="D54" i="9"/>
  <c r="D53" i="9"/>
  <c r="D52" i="9"/>
  <c r="D51" i="9"/>
  <c r="D50" i="9"/>
  <c r="F49" i="9"/>
  <c r="E49" i="9" s="1"/>
  <c r="G49" i="9" s="1"/>
  <c r="D47" i="9"/>
  <c r="D46" i="9"/>
  <c r="E45" i="9"/>
  <c r="G45" i="9" s="1"/>
  <c r="D44" i="9"/>
  <c r="D43" i="9"/>
  <c r="E42" i="9"/>
  <c r="G42" i="9" s="1"/>
  <c r="D41" i="9"/>
  <c r="D40" i="9"/>
  <c r="D39" i="9"/>
  <c r="F38" i="9"/>
  <c r="E38" i="9" s="1"/>
  <c r="G38" i="9" s="1"/>
  <c r="D37" i="9"/>
  <c r="D36" i="9"/>
  <c r="D35" i="9"/>
  <c r="D34" i="9"/>
  <c r="D33" i="9"/>
  <c r="D32" i="9"/>
  <c r="D31" i="9"/>
  <c r="D30" i="9"/>
  <c r="D29" i="9"/>
  <c r="F28" i="9"/>
  <c r="D27" i="9"/>
  <c r="D26" i="9"/>
  <c r="D25" i="9"/>
  <c r="D24" i="9"/>
  <c r="D23" i="9"/>
  <c r="D22" i="9"/>
  <c r="D21" i="9"/>
  <c r="D20" i="9"/>
  <c r="D19" i="9"/>
  <c r="F18" i="9"/>
  <c r="E18" i="9" s="1"/>
  <c r="G18" i="9" s="1"/>
  <c r="D17" i="9"/>
  <c r="D16" i="9"/>
  <c r="E15" i="9"/>
  <c r="G15" i="9" s="1"/>
  <c r="D14" i="9"/>
  <c r="D13" i="9"/>
  <c r="E12" i="9"/>
  <c r="G12" i="9" s="1"/>
  <c r="D11" i="9"/>
  <c r="D10" i="9"/>
  <c r="E9" i="9"/>
  <c r="G9" i="9" s="1"/>
  <c r="D8" i="9"/>
  <c r="E7" i="9"/>
  <c r="E37" i="7"/>
  <c r="E36" i="7"/>
  <c r="E35" i="7"/>
  <c r="E37" i="8"/>
  <c r="E36" i="8"/>
  <c r="G93" i="8"/>
  <c r="G92" i="8"/>
  <c r="G91" i="8"/>
  <c r="G90" i="8"/>
  <c r="G89" i="8"/>
  <c r="D86" i="8"/>
  <c r="D85" i="8"/>
  <c r="D84" i="8"/>
  <c r="D82" i="8"/>
  <c r="D81" i="8"/>
  <c r="D80" i="8"/>
  <c r="D79" i="8"/>
  <c r="D78" i="8"/>
  <c r="D77" i="8"/>
  <c r="D76" i="8"/>
  <c r="D75" i="8"/>
  <c r="D74" i="8"/>
  <c r="D73" i="8"/>
  <c r="D72" i="8"/>
  <c r="D71" i="8"/>
  <c r="F70" i="8"/>
  <c r="E70" i="8" s="1"/>
  <c r="G70" i="8" s="1"/>
  <c r="D69" i="8"/>
  <c r="D68" i="8"/>
  <c r="D67" i="8"/>
  <c r="D66" i="8"/>
  <c r="D65" i="8"/>
  <c r="D64" i="8"/>
  <c r="F63" i="8"/>
  <c r="E63" i="8" s="1"/>
  <c r="G63" i="8" s="1"/>
  <c r="D62" i="8"/>
  <c r="D61" i="8"/>
  <c r="D60" i="8"/>
  <c r="F59" i="8"/>
  <c r="E59" i="8" s="1"/>
  <c r="G59" i="8" s="1"/>
  <c r="D58" i="8"/>
  <c r="D57" i="8"/>
  <c r="D56" i="8"/>
  <c r="D55" i="8"/>
  <c r="D54" i="8"/>
  <c r="D53" i="8"/>
  <c r="D52" i="8"/>
  <c r="D51" i="8"/>
  <c r="D50" i="8"/>
  <c r="F49" i="8"/>
  <c r="E49" i="8" s="1"/>
  <c r="G49" i="8" s="1"/>
  <c r="D47" i="8"/>
  <c r="D46" i="8"/>
  <c r="E45" i="8"/>
  <c r="G45" i="8" s="1"/>
  <c r="D44" i="8"/>
  <c r="D43" i="8"/>
  <c r="E42" i="8"/>
  <c r="G42" i="8" s="1"/>
  <c r="D41" i="8"/>
  <c r="D40" i="8"/>
  <c r="D39" i="8"/>
  <c r="F38" i="8"/>
  <c r="E38" i="8" s="1"/>
  <c r="G38" i="8" s="1"/>
  <c r="D37" i="8"/>
  <c r="D36" i="8"/>
  <c r="D35" i="8"/>
  <c r="D34" i="8"/>
  <c r="D33" i="8"/>
  <c r="D32" i="8"/>
  <c r="D31" i="8"/>
  <c r="D30" i="8"/>
  <c r="D29" i="8"/>
  <c r="F28" i="8"/>
  <c r="D27" i="8"/>
  <c r="D26" i="8"/>
  <c r="D25" i="8"/>
  <c r="D24" i="8"/>
  <c r="D23" i="8"/>
  <c r="D22" i="8"/>
  <c r="D21" i="8"/>
  <c r="D20" i="8"/>
  <c r="D19" i="8"/>
  <c r="F18" i="8"/>
  <c r="E18" i="8" s="1"/>
  <c r="G18" i="8" s="1"/>
  <c r="D17" i="8"/>
  <c r="D16" i="8"/>
  <c r="E15" i="8"/>
  <c r="G15" i="8" s="1"/>
  <c r="D14" i="8"/>
  <c r="D13" i="8"/>
  <c r="G12" i="8"/>
  <c r="E12" i="8"/>
  <c r="D11" i="8"/>
  <c r="D10" i="8"/>
  <c r="E9" i="8"/>
  <c r="G9" i="8" s="1"/>
  <c r="D8" i="8"/>
  <c r="E7" i="8"/>
  <c r="E45" i="7"/>
  <c r="G45" i="7" s="1"/>
  <c r="E42" i="7"/>
  <c r="G42" i="7" s="1"/>
  <c r="E9" i="7"/>
  <c r="G9" i="7" s="1"/>
  <c r="G93" i="7"/>
  <c r="G92" i="7"/>
  <c r="G91" i="7"/>
  <c r="G90" i="7"/>
  <c r="G89" i="7"/>
  <c r="D86" i="7"/>
  <c r="D85" i="7"/>
  <c r="D84" i="7"/>
  <c r="D82" i="7"/>
  <c r="D81" i="7"/>
  <c r="D80" i="7"/>
  <c r="D79" i="7"/>
  <c r="D78" i="7"/>
  <c r="D77" i="7"/>
  <c r="D76" i="7"/>
  <c r="D75" i="7"/>
  <c r="D74" i="7"/>
  <c r="D73" i="7"/>
  <c r="D72" i="7"/>
  <c r="D71" i="7"/>
  <c r="F70" i="7"/>
  <c r="E70" i="7" s="1"/>
  <c r="G70" i="7" s="1"/>
  <c r="D69" i="7"/>
  <c r="D68" i="7"/>
  <c r="D67" i="7"/>
  <c r="D66" i="7"/>
  <c r="D65" i="7"/>
  <c r="D64" i="7"/>
  <c r="F63" i="7"/>
  <c r="E63" i="7" s="1"/>
  <c r="G63" i="7" s="1"/>
  <c r="D62" i="7"/>
  <c r="D61" i="7"/>
  <c r="D60" i="7"/>
  <c r="F59" i="7"/>
  <c r="E59" i="7" s="1"/>
  <c r="G59" i="7" s="1"/>
  <c r="D58" i="7"/>
  <c r="D57" i="7"/>
  <c r="D56" i="7"/>
  <c r="D55" i="7"/>
  <c r="D54" i="7"/>
  <c r="D53" i="7"/>
  <c r="D52" i="7"/>
  <c r="D51" i="7"/>
  <c r="D50" i="7"/>
  <c r="F49" i="7"/>
  <c r="E49" i="7" s="1"/>
  <c r="G49" i="7" s="1"/>
  <c r="D47" i="7"/>
  <c r="D46" i="7"/>
  <c r="D44" i="7"/>
  <c r="D43" i="7"/>
  <c r="D41" i="7"/>
  <c r="D40" i="7"/>
  <c r="D39" i="7"/>
  <c r="F38" i="7"/>
  <c r="E38" i="7" s="1"/>
  <c r="G38" i="7" s="1"/>
  <c r="D37" i="7"/>
  <c r="D36" i="7"/>
  <c r="E28" i="7"/>
  <c r="D35" i="7"/>
  <c r="D34" i="7"/>
  <c r="D33" i="7"/>
  <c r="D32" i="7"/>
  <c r="D31" i="7"/>
  <c r="D30" i="7"/>
  <c r="D29" i="7"/>
  <c r="F28" i="7"/>
  <c r="D27" i="7"/>
  <c r="D26" i="7"/>
  <c r="D25" i="7"/>
  <c r="D24" i="7"/>
  <c r="D23" i="7"/>
  <c r="D22" i="7"/>
  <c r="D21" i="7"/>
  <c r="D20" i="7"/>
  <c r="D19" i="7"/>
  <c r="F18" i="7"/>
  <c r="E18" i="7" s="1"/>
  <c r="G18" i="7" s="1"/>
  <c r="D17" i="7"/>
  <c r="D16" i="7"/>
  <c r="G15" i="7"/>
  <c r="E15" i="7"/>
  <c r="D14" i="7"/>
  <c r="D13" i="7"/>
  <c r="E12" i="7"/>
  <c r="G12" i="7" s="1"/>
  <c r="D11" i="7"/>
  <c r="D10" i="7"/>
  <c r="D8" i="7"/>
  <c r="E7" i="7"/>
  <c r="E37" i="6"/>
  <c r="F37" i="15" s="1"/>
  <c r="E36" i="6"/>
  <c r="F36" i="15" s="1"/>
  <c r="E35" i="6"/>
  <c r="F35" i="15" s="1"/>
  <c r="E37" i="1"/>
  <c r="E36" i="1"/>
  <c r="E35" i="1"/>
  <c r="E37" i="5"/>
  <c r="E36" i="5"/>
  <c r="E35" i="5"/>
  <c r="F35" i="14" s="1"/>
  <c r="G93" i="6"/>
  <c r="G92" i="6"/>
  <c r="G91" i="6"/>
  <c r="G90" i="6"/>
  <c r="G89" i="6"/>
  <c r="D86" i="6"/>
  <c r="D85" i="6"/>
  <c r="D84" i="6"/>
  <c r="D82" i="6"/>
  <c r="D81" i="6"/>
  <c r="D80" i="6"/>
  <c r="D79" i="6"/>
  <c r="D78" i="6"/>
  <c r="D77" i="6"/>
  <c r="D76" i="6"/>
  <c r="D75" i="6"/>
  <c r="D74" i="6"/>
  <c r="D73" i="6"/>
  <c r="D72" i="6"/>
  <c r="D71" i="6"/>
  <c r="F70" i="6"/>
  <c r="E70" i="6" s="1"/>
  <c r="G70" i="6" s="1"/>
  <c r="D69" i="6"/>
  <c r="D68" i="6"/>
  <c r="D67" i="6"/>
  <c r="D66" i="6"/>
  <c r="D65" i="6"/>
  <c r="D64" i="6"/>
  <c r="F63" i="6"/>
  <c r="E63" i="6" s="1"/>
  <c r="G63" i="6" s="1"/>
  <c r="D62" i="6"/>
  <c r="D61" i="6"/>
  <c r="D60" i="6"/>
  <c r="F59" i="6"/>
  <c r="E59" i="6" s="1"/>
  <c r="G59" i="6" s="1"/>
  <c r="D58" i="6"/>
  <c r="D57" i="6"/>
  <c r="D56" i="6"/>
  <c r="D55" i="6"/>
  <c r="D54" i="6"/>
  <c r="D53" i="6"/>
  <c r="D52" i="6"/>
  <c r="D51" i="6"/>
  <c r="D50" i="6"/>
  <c r="F49" i="6"/>
  <c r="E49" i="6" s="1"/>
  <c r="G49" i="6" s="1"/>
  <c r="D47" i="6"/>
  <c r="D46" i="6"/>
  <c r="E45" i="6"/>
  <c r="G45" i="6" s="1"/>
  <c r="D44" i="6"/>
  <c r="D43" i="6"/>
  <c r="E42" i="6"/>
  <c r="G42" i="6" s="1"/>
  <c r="D41" i="6"/>
  <c r="D40" i="6"/>
  <c r="D39" i="6"/>
  <c r="F38" i="6"/>
  <c r="E38" i="6" s="1"/>
  <c r="G38" i="6" s="1"/>
  <c r="D37" i="6"/>
  <c r="D36" i="6"/>
  <c r="D35" i="6"/>
  <c r="D34" i="6"/>
  <c r="D33" i="6"/>
  <c r="D32" i="6"/>
  <c r="D31" i="6"/>
  <c r="D30" i="6"/>
  <c r="D29" i="6"/>
  <c r="F28" i="6"/>
  <c r="E28" i="6" s="1"/>
  <c r="G28" i="6" s="1"/>
  <c r="D27" i="6"/>
  <c r="D26" i="6"/>
  <c r="D25" i="6"/>
  <c r="D24" i="6"/>
  <c r="D23" i="6"/>
  <c r="D22" i="6"/>
  <c r="D21" i="6"/>
  <c r="D20" i="6"/>
  <c r="D19" i="6"/>
  <c r="F18" i="6"/>
  <c r="E18" i="6" s="1"/>
  <c r="G18" i="6" s="1"/>
  <c r="D17" i="6"/>
  <c r="D16" i="6"/>
  <c r="G15" i="6"/>
  <c r="E15" i="6"/>
  <c r="D14" i="6"/>
  <c r="D13" i="6"/>
  <c r="E12" i="6"/>
  <c r="G12" i="6" s="1"/>
  <c r="D11" i="6"/>
  <c r="D10" i="6"/>
  <c r="E9" i="6"/>
  <c r="G9" i="6" s="1"/>
  <c r="D8" i="6"/>
  <c r="E7" i="6"/>
  <c r="G93" i="5"/>
  <c r="G92" i="5"/>
  <c r="G91" i="5"/>
  <c r="G90" i="5"/>
  <c r="G89" i="5"/>
  <c r="D86" i="5"/>
  <c r="D85" i="5"/>
  <c r="D84" i="5"/>
  <c r="D82" i="5"/>
  <c r="D81" i="5"/>
  <c r="D80" i="5"/>
  <c r="D79" i="5"/>
  <c r="D78" i="5"/>
  <c r="D77" i="5"/>
  <c r="D76" i="5"/>
  <c r="D75" i="5"/>
  <c r="D74" i="5"/>
  <c r="D73" i="5"/>
  <c r="D72" i="5"/>
  <c r="D71" i="5"/>
  <c r="F70" i="5"/>
  <c r="E70" i="5" s="1"/>
  <c r="G70" i="5" s="1"/>
  <c r="D69" i="5"/>
  <c r="D68" i="5"/>
  <c r="D67" i="5"/>
  <c r="D66" i="5"/>
  <c r="D65" i="5"/>
  <c r="D64" i="5"/>
  <c r="F63" i="5"/>
  <c r="E63" i="5" s="1"/>
  <c r="G63" i="5" s="1"/>
  <c r="D62" i="5"/>
  <c r="D61" i="5"/>
  <c r="D60" i="5"/>
  <c r="F59" i="5"/>
  <c r="E59" i="5" s="1"/>
  <c r="G59" i="5" s="1"/>
  <c r="D58" i="5"/>
  <c r="D57" i="5"/>
  <c r="D56" i="5"/>
  <c r="D55" i="5"/>
  <c r="D54" i="5"/>
  <c r="D53" i="5"/>
  <c r="D52" i="5"/>
  <c r="D51" i="5"/>
  <c r="D50" i="5"/>
  <c r="F49" i="5"/>
  <c r="E49" i="5" s="1"/>
  <c r="G49" i="5" s="1"/>
  <c r="D47" i="5"/>
  <c r="D46" i="5"/>
  <c r="E45" i="5"/>
  <c r="G45" i="5" s="1"/>
  <c r="D44" i="5"/>
  <c r="D43" i="5"/>
  <c r="E42" i="5"/>
  <c r="G42" i="5" s="1"/>
  <c r="D41" i="5"/>
  <c r="D40" i="5"/>
  <c r="D39" i="5"/>
  <c r="F38" i="5"/>
  <c r="E38" i="5" s="1"/>
  <c r="G38" i="5" s="1"/>
  <c r="D37" i="5"/>
  <c r="D36" i="5"/>
  <c r="D35" i="5"/>
  <c r="D34" i="5"/>
  <c r="D33" i="5"/>
  <c r="D32" i="5"/>
  <c r="D31" i="5"/>
  <c r="D30" i="5"/>
  <c r="D29" i="5"/>
  <c r="F28" i="5"/>
  <c r="E28" i="5" s="1"/>
  <c r="G28" i="5" s="1"/>
  <c r="D27" i="5"/>
  <c r="D26" i="5"/>
  <c r="D25" i="5"/>
  <c r="D24" i="5"/>
  <c r="D23" i="5"/>
  <c r="D22" i="5"/>
  <c r="D21" i="5"/>
  <c r="D20" i="5"/>
  <c r="D19" i="5"/>
  <c r="F18" i="5"/>
  <c r="E18" i="5" s="1"/>
  <c r="G18" i="5" s="1"/>
  <c r="D17" i="5"/>
  <c r="D16" i="5"/>
  <c r="G15" i="5"/>
  <c r="E15" i="5"/>
  <c r="D14" i="5"/>
  <c r="D13" i="5"/>
  <c r="E12" i="5"/>
  <c r="G12" i="5" s="1"/>
  <c r="D11" i="5"/>
  <c r="D10" i="5"/>
  <c r="E9" i="5"/>
  <c r="G9" i="5" s="1"/>
  <c r="D8" i="5"/>
  <c r="E7" i="5"/>
  <c r="E4" i="36" l="1"/>
  <c r="H89" i="36"/>
  <c r="H89" i="35"/>
  <c r="H89" i="34"/>
  <c r="H89" i="33"/>
  <c r="E4" i="32"/>
  <c r="H89" i="32"/>
  <c r="D4" i="31"/>
  <c r="G83" i="31"/>
  <c r="D4" i="30"/>
  <c r="G83" i="30"/>
  <c r="G28" i="29"/>
  <c r="E83" i="29"/>
  <c r="D4" i="29" s="1"/>
  <c r="E28" i="8"/>
  <c r="G28" i="8" s="1"/>
  <c r="F28" i="14"/>
  <c r="H28" i="14" s="1"/>
  <c r="E28" i="12"/>
  <c r="G28" i="12" s="1"/>
  <c r="F32" i="23"/>
  <c r="H32" i="23" s="1"/>
  <c r="F32" i="22"/>
  <c r="H32" i="22" s="1"/>
  <c r="F32" i="26"/>
  <c r="H32" i="26" s="1"/>
  <c r="E28" i="28"/>
  <c r="G28" i="28" s="1"/>
  <c r="G7" i="28"/>
  <c r="F47" i="27"/>
  <c r="H7" i="27"/>
  <c r="H7" i="26"/>
  <c r="F47" i="25"/>
  <c r="H7" i="25"/>
  <c r="F47" i="24"/>
  <c r="H7" i="24"/>
  <c r="F47" i="23"/>
  <c r="H7" i="23"/>
  <c r="H7" i="22"/>
  <c r="F89" i="20"/>
  <c r="E4" i="20" s="1"/>
  <c r="F89" i="19"/>
  <c r="F89" i="18"/>
  <c r="F89" i="17"/>
  <c r="H89" i="17" s="1"/>
  <c r="F28" i="16"/>
  <c r="H28" i="16" s="1"/>
  <c r="F28" i="15"/>
  <c r="H28" i="15" s="1"/>
  <c r="F89" i="14"/>
  <c r="G7" i="12"/>
  <c r="E28" i="11"/>
  <c r="G28" i="11" s="1"/>
  <c r="E83" i="10"/>
  <c r="E28" i="9"/>
  <c r="G28" i="9" s="1"/>
  <c r="G7" i="9"/>
  <c r="E83" i="8"/>
  <c r="G7" i="8"/>
  <c r="G28" i="7"/>
  <c r="E83" i="7"/>
  <c r="G7" i="7"/>
  <c r="E83" i="5"/>
  <c r="E83" i="6"/>
  <c r="G83" i="6" s="1"/>
  <c r="G7" i="6"/>
  <c r="G7" i="5"/>
  <c r="G83" i="29" l="1"/>
  <c r="E83" i="12"/>
  <c r="G83" i="12" s="1"/>
  <c r="F47" i="26"/>
  <c r="E4" i="26" s="1"/>
  <c r="F47" i="22"/>
  <c r="H47" i="22" s="1"/>
  <c r="E83" i="28"/>
  <c r="G83" i="28" s="1"/>
  <c r="E4" i="27"/>
  <c r="H47" i="27"/>
  <c r="H47" i="26"/>
  <c r="E4" i="25"/>
  <c r="H47" i="25"/>
  <c r="E4" i="24"/>
  <c r="H47" i="24"/>
  <c r="E4" i="23"/>
  <c r="H47" i="23"/>
  <c r="H89" i="20"/>
  <c r="H89" i="19"/>
  <c r="E4" i="19"/>
  <c r="H89" i="18"/>
  <c r="E4" i="18"/>
  <c r="E4" i="17"/>
  <c r="F89" i="16"/>
  <c r="H89" i="16" s="1"/>
  <c r="F89" i="15"/>
  <c r="H89" i="15" s="1"/>
  <c r="E4" i="14"/>
  <c r="H89" i="14"/>
  <c r="E83" i="11"/>
  <c r="G83" i="11" s="1"/>
  <c r="G83" i="10"/>
  <c r="D4" i="10"/>
  <c r="E83" i="9"/>
  <c r="G83" i="9" s="1"/>
  <c r="G83" i="8"/>
  <c r="D4" i="8"/>
  <c r="G83" i="7"/>
  <c r="D4" i="7"/>
  <c r="D4" i="6"/>
  <c r="G83" i="5"/>
  <c r="D4" i="5"/>
  <c r="D4" i="12" l="1"/>
  <c r="E4" i="22"/>
  <c r="D4" i="28"/>
  <c r="E4" i="16"/>
  <c r="E4" i="15"/>
  <c r="D4" i="11"/>
  <c r="D4" i="9"/>
  <c r="F10" i="2"/>
  <c r="F13" i="2"/>
  <c r="G43" i="4"/>
  <c r="G36" i="4"/>
  <c r="G32" i="4"/>
  <c r="G28" i="4"/>
  <c r="G18" i="4"/>
  <c r="F52" i="2"/>
  <c r="F18" i="2"/>
  <c r="F15" i="2"/>
  <c r="G76" i="2"/>
  <c r="G69" i="2"/>
  <c r="G65" i="2"/>
  <c r="G55" i="2"/>
  <c r="F55" i="2" s="1"/>
  <c r="H55" i="2" s="1"/>
  <c r="G38" i="2"/>
  <c r="F38" i="2" s="1"/>
  <c r="G28" i="2"/>
  <c r="F28" i="2" s="1"/>
  <c r="H28" i="2" s="1"/>
  <c r="G21" i="2"/>
  <c r="F21" i="2" s="1"/>
  <c r="F49" i="1" l="1"/>
  <c r="F70" i="1" l="1"/>
  <c r="F63" i="1"/>
  <c r="F59" i="1"/>
  <c r="H54" i="4"/>
  <c r="H53" i="4"/>
  <c r="H52" i="4"/>
  <c r="H51" i="4"/>
  <c r="H50" i="4"/>
  <c r="F38" i="1"/>
  <c r="F28" i="1"/>
  <c r="E28" i="1" s="1"/>
  <c r="F18" i="1"/>
  <c r="E18" i="1" s="1"/>
  <c r="F43" i="4" l="1"/>
  <c r="H43" i="4" s="1"/>
  <c r="E46" i="4"/>
  <c r="E45" i="4"/>
  <c r="E44" i="4"/>
  <c r="F36" i="4"/>
  <c r="H36" i="4" s="1"/>
  <c r="E42" i="4"/>
  <c r="E41" i="4"/>
  <c r="E40" i="4"/>
  <c r="E39" i="4"/>
  <c r="E37" i="4"/>
  <c r="E38" i="4"/>
  <c r="F28" i="4"/>
  <c r="H28" i="4" s="1"/>
  <c r="F34" i="4"/>
  <c r="F32" i="4" s="1"/>
  <c r="H32" i="4" s="1"/>
  <c r="E27" i="4"/>
  <c r="E26" i="4"/>
  <c r="E25" i="4"/>
  <c r="E24" i="4"/>
  <c r="E23" i="4"/>
  <c r="E22" i="4"/>
  <c r="E21" i="4"/>
  <c r="E20" i="4"/>
  <c r="E19" i="4"/>
  <c r="F18" i="4"/>
  <c r="E14" i="4"/>
  <c r="E17" i="4"/>
  <c r="E16" i="4"/>
  <c r="H13" i="4"/>
  <c r="H10" i="4"/>
  <c r="E11" i="4"/>
  <c r="E12" i="4"/>
  <c r="E9" i="4"/>
  <c r="E8" i="4"/>
  <c r="F7" i="4"/>
  <c r="H7" i="4" s="1"/>
  <c r="E37" i="2"/>
  <c r="E36" i="2"/>
  <c r="E35" i="2"/>
  <c r="E34" i="2"/>
  <c r="E33" i="2"/>
  <c r="E32" i="2"/>
  <c r="E31" i="2"/>
  <c r="E30" i="2"/>
  <c r="E29" i="2"/>
  <c r="H99" i="2"/>
  <c r="H98" i="2"/>
  <c r="H97" i="2"/>
  <c r="H96" i="2"/>
  <c r="H95" i="2"/>
  <c r="E92" i="2"/>
  <c r="E91" i="2"/>
  <c r="E90" i="2"/>
  <c r="E88" i="2"/>
  <c r="E87" i="2"/>
  <c r="E86" i="2"/>
  <c r="E85" i="2"/>
  <c r="E84" i="2"/>
  <c r="E83" i="2"/>
  <c r="E82" i="2"/>
  <c r="E81" i="2"/>
  <c r="E80" i="2"/>
  <c r="E79" i="2"/>
  <c r="E78" i="2"/>
  <c r="E77" i="2"/>
  <c r="F76" i="2"/>
  <c r="H76" i="2" s="1"/>
  <c r="E75" i="2"/>
  <c r="E74" i="2"/>
  <c r="E73" i="2"/>
  <c r="E72" i="2"/>
  <c r="E71" i="2"/>
  <c r="E70" i="2"/>
  <c r="F69" i="2"/>
  <c r="H69" i="2" s="1"/>
  <c r="F65" i="2"/>
  <c r="E49" i="1"/>
  <c r="E64" i="2"/>
  <c r="E63" i="2"/>
  <c r="E62" i="2"/>
  <c r="E61" i="2"/>
  <c r="E60" i="2"/>
  <c r="E59" i="2"/>
  <c r="E58" i="2"/>
  <c r="E57" i="2"/>
  <c r="E56" i="2"/>
  <c r="E53" i="2"/>
  <c r="H52" i="2"/>
  <c r="H65" i="2" l="1"/>
  <c r="F89" i="2"/>
  <c r="F47" i="4"/>
  <c r="H47" i="4" s="1"/>
  <c r="H18" i="4"/>
  <c r="H15" i="4"/>
  <c r="E59" i="1"/>
  <c r="E42" i="1"/>
  <c r="G42" i="1" s="1"/>
  <c r="E4" i="4" l="1"/>
  <c r="E54" i="2"/>
  <c r="H42" i="2"/>
  <c r="E51" i="2"/>
  <c r="E50" i="2"/>
  <c r="E49" i="2"/>
  <c r="E48" i="2"/>
  <c r="E47" i="2"/>
  <c r="E46" i="2"/>
  <c r="E45" i="2"/>
  <c r="E44" i="2"/>
  <c r="E43" i="2"/>
  <c r="H21" i="2"/>
  <c r="E41" i="2"/>
  <c r="E40" i="2"/>
  <c r="E39" i="2"/>
  <c r="E27" i="2"/>
  <c r="E26" i="2"/>
  <c r="E25" i="2"/>
  <c r="E24" i="2"/>
  <c r="E23" i="2"/>
  <c r="E22" i="2"/>
  <c r="H18" i="2"/>
  <c r="E20" i="2"/>
  <c r="E19" i="2"/>
  <c r="H15" i="2"/>
  <c r="E17" i="2"/>
  <c r="E16" i="2"/>
  <c r="H13" i="2"/>
  <c r="E14" i="2"/>
  <c r="E12" i="2"/>
  <c r="H10" i="2"/>
  <c r="E11" i="2"/>
  <c r="E9" i="2"/>
  <c r="E8" i="2"/>
  <c r="H38" i="2" l="1"/>
  <c r="G89" i="1"/>
  <c r="G90" i="1"/>
  <c r="G91" i="1"/>
  <c r="G92" i="1"/>
  <c r="G93" i="1"/>
  <c r="G28" i="1"/>
  <c r="D37" i="1"/>
  <c r="D36" i="1"/>
  <c r="D35" i="1"/>
  <c r="D34" i="1"/>
  <c r="D33" i="1"/>
  <c r="D32" i="1"/>
  <c r="D31" i="1"/>
  <c r="D30" i="1"/>
  <c r="D29" i="1"/>
  <c r="E4" i="2" l="1"/>
  <c r="H7" i="2"/>
  <c r="D86" i="1"/>
  <c r="D85" i="1"/>
  <c r="D84" i="1"/>
  <c r="E70" i="1"/>
  <c r="G70" i="1" s="1"/>
  <c r="D80" i="1"/>
  <c r="D81" i="1"/>
  <c r="D79" i="1"/>
  <c r="D77" i="1"/>
  <c r="D76" i="1"/>
  <c r="D75" i="1"/>
  <c r="D82" i="1"/>
  <c r="D78" i="1"/>
  <c r="D74" i="1"/>
  <c r="D73" i="1"/>
  <c r="D72" i="1"/>
  <c r="D71" i="1"/>
  <c r="E63" i="1"/>
  <c r="G63" i="1" s="1"/>
  <c r="D69" i="1"/>
  <c r="D68" i="1"/>
  <c r="D67" i="1"/>
  <c r="D66" i="1"/>
  <c r="D65" i="1"/>
  <c r="D64" i="1"/>
  <c r="G59" i="1"/>
  <c r="D62" i="1"/>
  <c r="D61" i="1"/>
  <c r="D60" i="1"/>
  <c r="G49" i="1"/>
  <c r="D58" i="1"/>
  <c r="D57" i="1"/>
  <c r="D56" i="1"/>
  <c r="D55" i="1"/>
  <c r="D54" i="1"/>
  <c r="D53" i="1"/>
  <c r="D52" i="1"/>
  <c r="D51" i="1"/>
  <c r="D50" i="1"/>
  <c r="E45" i="1"/>
  <c r="D14" i="1"/>
  <c r="D46" i="1"/>
  <c r="D47" i="1"/>
  <c r="D44" i="1"/>
  <c r="D43" i="1"/>
  <c r="E38" i="1"/>
  <c r="G18" i="1"/>
  <c r="E9" i="1"/>
  <c r="G9" i="1" s="1"/>
  <c r="E15" i="1"/>
  <c r="G15" i="1" s="1"/>
  <c r="D41" i="1"/>
  <c r="D40" i="1"/>
  <c r="D39" i="1"/>
  <c r="D27" i="1"/>
  <c r="D26" i="1"/>
  <c r="D25" i="1"/>
  <c r="D24" i="1"/>
  <c r="D23" i="1"/>
  <c r="D22" i="1"/>
  <c r="D21" i="1"/>
  <c r="D20" i="1"/>
  <c r="D19" i="1"/>
  <c r="D11" i="1"/>
  <c r="D10" i="1"/>
  <c r="D17" i="1"/>
  <c r="D16" i="1"/>
  <c r="D13" i="1"/>
  <c r="D8" i="1"/>
  <c r="E12" i="1"/>
  <c r="G12" i="1" s="1"/>
  <c r="E7" i="1"/>
  <c r="H89" i="2" l="1"/>
  <c r="G38" i="1"/>
  <c r="E83" i="1"/>
  <c r="G83" i="1" s="1"/>
  <c r="G45" i="1"/>
  <c r="G7" i="1"/>
  <c r="D4" i="1" l="1"/>
</calcChain>
</file>

<file path=xl/comments1.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10.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11.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12.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13.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14.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15.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16.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17.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18.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19.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2.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20.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21.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22.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23.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24.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25.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26.xml><?xml version="1.0" encoding="utf-8"?>
<comments xmlns="http://schemas.openxmlformats.org/spreadsheetml/2006/main">
  <authors>
    <author>Автор</author>
  </authors>
  <commentList>
    <comment ref="D7" authorId="0" shapeId="0">
      <text>
        <r>
          <rPr>
            <b/>
            <sz val="9"/>
            <color indexed="81"/>
            <rFont val="Tahoma"/>
            <family val="2"/>
            <charset val="204"/>
          </rPr>
          <t>Процент заявлений на поступление, принятых от лиц, имеющих диплом бакалавра, диплом специалиста, диплом магистра, полученном в другой образовательной организации</t>
        </r>
      </text>
    </comment>
    <comment ref="D18"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D21" authorId="0" shapeId="0">
      <text>
        <r>
          <rPr>
            <b/>
            <sz val="9"/>
            <color indexed="81"/>
            <rFont val="Tahoma"/>
            <family val="2"/>
            <charset val="204"/>
          </rPr>
          <t>Соотношение приведенного контингента обучающихся по программам подготовки научно-педагогических кадров в аспирантуре и приведенного контингента обучающихся по программам магистратуры</t>
        </r>
      </text>
    </comment>
    <comment ref="C28" authorId="0" shapeId="0">
      <text>
        <r>
          <rPr>
            <b/>
            <sz val="9"/>
            <color indexed="81"/>
            <rFont val="Tahoma"/>
            <family val="2"/>
            <charset val="204"/>
          </rPr>
          <t>Расчитывается не во всех УГСН</t>
        </r>
      </text>
    </comment>
    <comment ref="C55" authorId="0" shapeId="0">
      <text>
        <r>
          <rPr>
            <b/>
            <sz val="9"/>
            <color indexed="81"/>
            <rFont val="Tahoma"/>
            <family val="2"/>
            <charset val="204"/>
          </rPr>
          <t>Расчитывается не во всех УГСН</t>
        </r>
      </text>
    </comment>
    <comment ref="D55"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D69" authorId="0" shapeId="0">
      <text>
        <r>
          <rPr>
            <b/>
            <sz val="9"/>
            <color indexed="81"/>
            <rFont val="Tahoma"/>
            <family val="2"/>
            <charset val="204"/>
          </rPr>
          <t>Процент иностранных граждан в приведенном контингенте обучающихся</t>
        </r>
      </text>
    </comment>
    <comment ref="D76"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27.xml><?xml version="1.0" encoding="utf-8"?>
<comments xmlns="http://schemas.openxmlformats.org/spreadsheetml/2006/main">
  <authors>
    <author>Автор</author>
  </authors>
  <commentList>
    <comment ref="C18" authorId="0" shapeId="0">
      <text>
        <r>
          <rPr>
            <b/>
            <sz val="9"/>
            <color indexed="81"/>
            <rFont val="Tahoma"/>
            <family val="2"/>
            <charset val="204"/>
          </rPr>
          <t>Расчитывается не во всех УГСН</t>
        </r>
      </text>
    </comment>
    <comment ref="D18"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List>
</comments>
</file>

<file path=xl/comments28.xml><?xml version="1.0" encoding="utf-8"?>
<comments xmlns="http://schemas.openxmlformats.org/spreadsheetml/2006/main">
  <authors>
    <author>Автор</author>
  </authors>
  <commentList>
    <comment ref="C18" authorId="0" shapeId="0">
      <text>
        <r>
          <rPr>
            <b/>
            <sz val="9"/>
            <color indexed="81"/>
            <rFont val="Tahoma"/>
            <family val="2"/>
            <charset val="204"/>
          </rPr>
          <t>Расчитывается не во всех УГСН</t>
        </r>
      </text>
    </comment>
    <comment ref="D18"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List>
</comments>
</file>

<file path=xl/comments29.xml><?xml version="1.0" encoding="utf-8"?>
<comments xmlns="http://schemas.openxmlformats.org/spreadsheetml/2006/main">
  <authors>
    <author>Автор</author>
  </authors>
  <commentList>
    <comment ref="C18" authorId="0" shapeId="0">
      <text>
        <r>
          <rPr>
            <b/>
            <sz val="9"/>
            <color indexed="81"/>
            <rFont val="Tahoma"/>
            <family val="2"/>
            <charset val="204"/>
          </rPr>
          <t>Расчитывается не во всех УГСН</t>
        </r>
      </text>
    </comment>
    <comment ref="D18"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List>
</comments>
</file>

<file path=xl/comments3.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30.xml><?xml version="1.0" encoding="utf-8"?>
<comments xmlns="http://schemas.openxmlformats.org/spreadsheetml/2006/main">
  <authors>
    <author>Автор</author>
  </authors>
  <commentList>
    <comment ref="C18" authorId="0" shapeId="0">
      <text>
        <r>
          <rPr>
            <b/>
            <sz val="9"/>
            <color indexed="81"/>
            <rFont val="Tahoma"/>
            <family val="2"/>
            <charset val="204"/>
          </rPr>
          <t>Расчитывается не во всех УГСН</t>
        </r>
      </text>
    </comment>
    <comment ref="D18"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List>
</comments>
</file>

<file path=xl/comments31.xml><?xml version="1.0" encoding="utf-8"?>
<comments xmlns="http://schemas.openxmlformats.org/spreadsheetml/2006/main">
  <authors>
    <author>Автор</author>
  </authors>
  <commentList>
    <comment ref="D18"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List>
</comments>
</file>

<file path=xl/comments32.xml><?xml version="1.0" encoding="utf-8"?>
<comments xmlns="http://schemas.openxmlformats.org/spreadsheetml/2006/main">
  <authors>
    <author>Автор</author>
  </authors>
  <commentList>
    <comment ref="C18" authorId="0" shapeId="0">
      <text>
        <r>
          <rPr>
            <b/>
            <sz val="9"/>
            <color indexed="81"/>
            <rFont val="Tahoma"/>
            <family val="2"/>
            <charset val="204"/>
          </rPr>
          <t>Расчитывается не во всех УГСН</t>
        </r>
      </text>
    </comment>
    <comment ref="D18"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List>
</comments>
</file>

<file path=xl/comments33.xml><?xml version="1.0" encoding="utf-8"?>
<comments xmlns="http://schemas.openxmlformats.org/spreadsheetml/2006/main">
  <authors>
    <author>Автор</author>
  </authors>
  <commentList>
    <comment ref="C18" authorId="0" shapeId="0">
      <text>
        <r>
          <rPr>
            <b/>
            <sz val="9"/>
            <color indexed="81"/>
            <rFont val="Tahoma"/>
            <family val="2"/>
            <charset val="204"/>
          </rPr>
          <t>Расчитывается не во всех УГСН</t>
        </r>
      </text>
    </comment>
    <comment ref="D18"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List>
</comments>
</file>

<file path=xl/comments4.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5.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6.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7.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8.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comments9.xml><?xml version="1.0" encoding="utf-8"?>
<comments xmlns="http://schemas.openxmlformats.org/spreadsheetml/2006/main">
  <authors>
    <author>Автор</author>
  </authors>
  <commentList>
    <comment ref="C15" authorId="0" shapeId="0">
      <text>
        <r>
          <rPr>
            <b/>
            <sz val="9"/>
            <color indexed="81"/>
            <rFont val="Tahoma"/>
            <family val="2"/>
            <charset val="204"/>
          </rPr>
          <t>При оценке заявок по УГСН значение показателя определяется как доля НПС, входящих в состав соответствующей УГСН, по которым имеются лицензии на осуществление образовательной деятельности и профессионально-общественная аккредитация образовательных программ, срок действия которой истекает не ранее завершения года, в котором проводится конкурс, в общем числе НПС, входящих в состав соответствующей УГСН, по которым имеются лицензии на осуществление образовательной деятельности. Для филиалов образовательных организаций указанный показатель принимается равным показателю, рассчитанному для головной организации.</t>
        </r>
      </text>
    </comment>
    <comment ref="C18" authorId="0" shapeId="0">
      <text>
        <r>
          <rPr>
            <b/>
            <sz val="9"/>
            <color indexed="81"/>
            <rFont val="Tahoma"/>
            <family val="2"/>
            <charset val="204"/>
          </rPr>
          <t>Соотношение приведенного контингента обучающихся по программам магистратуры, программам подготовки научно-педагогических кадров в аспирантуре, и приведенного контингента студентов, обучающихся по программам бакалавриата (программам специалитета)</t>
        </r>
      </text>
    </comment>
    <comment ref="B28" authorId="0" shapeId="0">
      <text>
        <r>
          <rPr>
            <b/>
            <sz val="9"/>
            <color indexed="81"/>
            <rFont val="Tahoma"/>
            <family val="2"/>
            <charset val="204"/>
          </rPr>
          <t>Расчитывается не во всех УГСН</t>
        </r>
      </text>
    </comment>
    <comment ref="C38" authorId="0" shapeId="0">
      <text>
        <r>
          <rPr>
            <b/>
            <sz val="9"/>
            <color indexed="81"/>
            <rFont val="Tahoma"/>
            <family val="2"/>
            <charset val="204"/>
          </rPr>
          <t>Доля обучающихся по договорам о целевом обучении в приведенном контингенте обучающихся</t>
        </r>
      </text>
    </comment>
    <comment ref="C42" authorId="0" shapeId="0">
      <text>
        <r>
          <rPr>
            <b/>
            <sz val="9"/>
            <color indexed="81"/>
            <rFont val="Tahoma"/>
            <family val="2"/>
            <charset val="204"/>
          </rPr>
          <t>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 В таком случае показатель выставляется уже после подачи данных</t>
        </r>
      </text>
    </comment>
    <comment ref="D44" authorId="0" shapeId="0">
      <text>
        <r>
          <rPr>
            <b/>
            <sz val="9"/>
            <color indexed="81"/>
            <rFont val="Tahoma"/>
            <family val="2"/>
            <charset val="204"/>
          </rPr>
          <t>Здесь не ошибка, это условный +1 год на трудоустройство выпускника</t>
        </r>
      </text>
    </comment>
    <comment ref="B49" authorId="0" shapeId="0">
      <text>
        <r>
          <rPr>
            <b/>
            <sz val="9"/>
            <color indexed="81"/>
            <rFont val="Tahoma"/>
            <family val="2"/>
            <charset val="204"/>
          </rPr>
          <t>Расчитывается не во всех УГСН</t>
        </r>
      </text>
    </comment>
    <comment ref="C49" authorId="0" shapeId="0">
      <text>
        <r>
          <rPr>
            <b/>
            <sz val="9"/>
            <color indexed="81"/>
            <rFont val="Tahoma"/>
            <family val="2"/>
            <charset val="204"/>
          </rPr>
          <t>Количество публикаций в научных журналах, индексируемых в реферативно-библиографических базах научного цитирования Web of Science и Scopus, в расчете на 100 научно-педагогических (научных) работников</t>
        </r>
      </text>
    </comment>
    <comment ref="B59" authorId="0" shapeId="0">
      <text>
        <r>
          <rPr>
            <b/>
            <sz val="9"/>
            <color indexed="81"/>
            <rFont val="Tahoma"/>
            <family val="2"/>
            <charset val="204"/>
          </rPr>
          <t>Расчитывается не во всех УГСН</t>
        </r>
      </text>
    </comment>
    <comment ref="C59" authorId="0" shapeId="0">
      <text>
        <r>
          <rPr>
            <b/>
            <sz val="9"/>
            <color indexed="81"/>
            <rFont val="Tahoma"/>
            <family val="2"/>
            <charset val="204"/>
          </rPr>
          <t>Доходы от выполнения научно-исследовательских и опытно-конструкторских работ в расчете на одного НПР</t>
        </r>
      </text>
    </comment>
    <comment ref="C63" authorId="0" shapeId="0">
      <text>
        <r>
          <rPr>
            <b/>
            <sz val="9"/>
            <color indexed="81"/>
            <rFont val="Tahoma"/>
            <family val="2"/>
            <charset val="204"/>
          </rPr>
          <t>Процент иностранных граждан в приведенном контингенте обучающихся</t>
        </r>
      </text>
    </comment>
    <comment ref="C70" authorId="0" shapeId="0">
      <text>
        <r>
          <rPr>
            <b/>
            <sz val="9"/>
            <color indexed="81"/>
            <rFont val="Tahoma"/>
            <family val="2"/>
            <charset val="204"/>
          </rPr>
          <t>Доходы образовательной организации из всех источников в расчете на приведенный контингент обучающихся</t>
        </r>
      </text>
    </comment>
  </commentList>
</comments>
</file>

<file path=xl/sharedStrings.xml><?xml version="1.0" encoding="utf-8"?>
<sst xmlns="http://schemas.openxmlformats.org/spreadsheetml/2006/main" count="3941" uniqueCount="248">
  <si>
    <t>Б11</t>
  </si>
  <si>
    <t>Средний балл ЕГЭ</t>
  </si>
  <si>
    <t>Исполнение КЦП прошлых лет</t>
  </si>
  <si>
    <t>Б12</t>
  </si>
  <si>
    <t>Средний балл ЕГЭ студентов, принятых на обучение по очной форме на бакалавриат и специалитет на данной программе:</t>
  </si>
  <si>
    <t>Доля целевого приема</t>
  </si>
  <si>
    <t>Б13</t>
  </si>
  <si>
    <t>Как получить максимальный балл</t>
  </si>
  <si>
    <t>Доля целевиков должна стремиться к половине от всех поступивших по программе. Студенты превышающие эту половину роли не играют</t>
  </si>
  <si>
    <t>Повышать средний балл поступивших по программе</t>
  </si>
  <si>
    <t>На все бюджетные места должны быть зачислены бюджетники</t>
  </si>
  <si>
    <t>Прием на обучение по очной форме на бакалавриат и специалитет за счет всех источников финансирования, человек (по данной программе)</t>
  </si>
  <si>
    <t>Из них - на целевое</t>
  </si>
  <si>
    <t>Б21</t>
  </si>
  <si>
    <t>Наличие профессионально-общественной аккредитации образовательных программ по соответствующим УГСН (НПС)</t>
  </si>
  <si>
    <t>количество НПС, имеющих профессионально-общественную аккредитацию</t>
  </si>
  <si>
    <t>количество лицензированных НПС</t>
  </si>
  <si>
    <t>Проводить профессионально-общественную аккредитацию</t>
  </si>
  <si>
    <t>Соотношение (Маг+Асп)/БС</t>
  </si>
  <si>
    <t>Б22</t>
  </si>
  <si>
    <t>max (вес показателя)</t>
  </si>
  <si>
    <t>Необходимы данные за год:</t>
  </si>
  <si>
    <t>Установленные контрольные цифры приема (КЦП), мест (по данной программе по всем формам обучения и филиалам за 3 года в сумме)</t>
  </si>
  <si>
    <t>Прием на обучение за счет средств федерального бюджета, человек (по данной программе по всем формам обучения и филиалам за 3 года в сумме)</t>
  </si>
  <si>
    <t>Узнаем КЦП за год:</t>
  </si>
  <si>
    <t>Показатель</t>
  </si>
  <si>
    <t>Бакалавриат - очная Численность обучающихся за счет всех источников финансирования, человек</t>
  </si>
  <si>
    <t>Магистратура  - очная Численность обучающихся за счет всех источников финансирования, человек</t>
  </si>
  <si>
    <t>Аспирантура  - очная Численность обучающихся за счет всех источников финансирования, человек</t>
  </si>
  <si>
    <t>Бакалавриат - очно-заочная Численность обучающихся за счет всех источников финансирования, человек</t>
  </si>
  <si>
    <t>Магистратура - очно-заочная Численность обучающихся за счет всех источников финансирования, человек</t>
  </si>
  <si>
    <t>Аспирантура - очно-заочная Численность обучающихся за счет всех источников финансирования, человек</t>
  </si>
  <si>
    <t>Бакалавриат - заочная Численность обучающихся за счет всех источников финансирования, человек</t>
  </si>
  <si>
    <t>Магистратура - заочная Численность обучающихся за счет всех источников финансирования, человек</t>
  </si>
  <si>
    <t>Аспирантура - заочная Численность обучающихся за счет всех источников финансирования, человек</t>
  </si>
  <si>
    <t>В первую очередь нужно увеличивать количество очных аспирантов (трехкратный коэффициент), затем - очных магистрантов (очно-заочные и заочные идут с понижающим коэффициентом)</t>
  </si>
  <si>
    <t>Б28</t>
  </si>
  <si>
    <t>Доля целевого обучения</t>
  </si>
  <si>
    <t>Бакалавриат - очная численность обучающихся по договорам о целевом обучении за счет всех источников финансирования, человек</t>
  </si>
  <si>
    <t>Магистратура - очно-заочная численность обучающихся по договорам о целевом обучении за счет всех источников финансирования, человек</t>
  </si>
  <si>
    <t>Бакалавриат - заочная численность обучающихся по договорам о целевом обучении за счет всех источников финансирования, человек</t>
  </si>
  <si>
    <t>Доля целевиков должна стремиться к половине от всех обучающихся по программе. Студенты превышающие эту половину роли не играют</t>
  </si>
  <si>
    <t>Обратить внимание</t>
  </si>
  <si>
    <t>Трудоустройство выпускников</t>
  </si>
  <si>
    <t>Б31</t>
  </si>
  <si>
    <t>из них - трудоустроенных по направлению подготовки в сумме за 3 года очной формы (за исключением продолживших обучение), являющихся гражданами Российской Федерации</t>
  </si>
  <si>
    <t>Численность выпусников по направлению подготовки в сумме за 3 года очной формы (за исключением продолживших обучение), являющихся гражданами Российской Федерации</t>
  </si>
  <si>
    <t>Сохранность контингента</t>
  </si>
  <si>
    <t>Б32</t>
  </si>
  <si>
    <t>Студентов I курса обучающихся по программам бакалавриата и специалитета (студентов очной формы за счет всех источников финансирования), человек</t>
  </si>
  <si>
    <t>Студентов IV курса обучающихся по программам бакалавриата и специалитета (студентов очной формы за счет всех источников финансирования), человек</t>
  </si>
  <si>
    <t>Отчисленных к 4 курсу не должно быть больше 40%</t>
  </si>
  <si>
    <t>Б41</t>
  </si>
  <si>
    <t>Публикации на 100 НПР</t>
  </si>
  <si>
    <t>Среднесписочная численность профессорско-преподавательского состава (без внешних совместителей) И Внешних совместителей (пропорционально отработанному времени) в сумме, человек</t>
  </si>
  <si>
    <t>Среднесписочная численность научных работников образовательной организации (без внешних совместителей) И Внешних совместителей (пропорционально отработанному времени) в сумме, человек</t>
  </si>
  <si>
    <t>Количество опубликованных статей в рецензируемых научных журналах, которые учитываются в базах научного цитирования Scopus + Web of Science , единиц</t>
  </si>
  <si>
    <t>Доходы от НИОКР на 1 НПР</t>
  </si>
  <si>
    <t>Б42</t>
  </si>
  <si>
    <t>Количество статей должно быть равным или превышать сумму ППС и научных сотрудников (каждый ППС и научный сотрудник должен написать по 1-й статье Scopus или WoS, квартиль не важен)</t>
  </si>
  <si>
    <t>Доля иностранных студентов</t>
  </si>
  <si>
    <t>Б43</t>
  </si>
  <si>
    <t>Общая численность очных обучающихся (Б+М, включая иностранцев)</t>
  </si>
  <si>
    <t>Общая численность очно-заочных обучающихся (Б+М, включая иностранцев)</t>
  </si>
  <si>
    <t>Общая численность заочных обучающихся (Б+М, включая иностранцев)</t>
  </si>
  <si>
    <t>Общая численность иностранных очных обучающихся (Б+М)</t>
  </si>
  <si>
    <t>Общая численность иностранных очно-заочных обучающихся (Б+М)</t>
  </si>
  <si>
    <t>Общая численность иностранных заочных обучающихся (Б+М)</t>
  </si>
  <si>
    <t>Доходы на 1 студента</t>
  </si>
  <si>
    <t>Б44</t>
  </si>
  <si>
    <t>Сводная оценка заявки</t>
  </si>
  <si>
    <t>СВОД</t>
  </si>
  <si>
    <t>Численность очных обучающихся бакалавриата инвалидов и лиц с ОВЗ за счет всех источников финансирования по направлению подготовки, человек</t>
  </si>
  <si>
    <t>Численность очно-заочных обучающихся бакалавриата инвалидов и лиц с ОВЗ за счет всех источников финансирования по направлению подготовки, человек</t>
  </si>
  <si>
    <t>Численность заочных обучающихся бакалавриата инвалидов и лиц с ОВЗ за счет всех источников финансирования по направлению подготовки, человек</t>
  </si>
  <si>
    <t>Получается итог:</t>
  </si>
  <si>
    <t>Чем больше доля поступивших по ОВЗ тем больше множитель итогового балла (в приоритете - поступающие на очные формы обучения)</t>
  </si>
  <si>
    <t>Доход на каждого очного студента должен быть 500 тыс. руб, очно-заочного - 125 тыс. руб, заочного - 50 тыс. руб (равномерно)</t>
  </si>
  <si>
    <t>Иностранцы должны составлять 1/15 от всех обучающихся (по формам обучения соответственно)</t>
  </si>
  <si>
    <t>На каждого ППС+научного работника ежегодный суммарный доход от НИОК  должен быть в размере 1 млн. руб</t>
  </si>
  <si>
    <t>Во все желтые ячейки необходимо внести данные</t>
  </si>
  <si>
    <t>Таблица необходмиа для того, чтобы заранее понять, сколько баллов КЦП мы набираем и каковы шансы на бюджетные места до начала конкурса</t>
  </si>
  <si>
    <t>Объем доходов образовательной организации от выполнения НИОКР, тыс.руб</t>
  </si>
  <si>
    <t>Объем поступивших средств (доходов образовательной организации), всего , тыс.руб</t>
  </si>
  <si>
    <t>Соотношение ДПО/(БС+Маг)</t>
  </si>
  <si>
    <t>Б25</t>
  </si>
  <si>
    <t>Программы повышения квалификации – численность прошедших очное обучение (за счет всех источников финансирования) по видам экономической деятельности,
соответствующие рассматриваемой УГСН(НПС)</t>
  </si>
  <si>
    <t>Программы повышения квалификации – численность прошедших очно-заочное обучение (за счет всех источников финансирования) по видам экономической деятельности,
соответствующие рассматриваемой УГСН(НПС)</t>
  </si>
  <si>
    <t>Программы повышения квалификации – численность прошедших заочное обучение (за счет всех источников финансирования) по видам экономической деятельности,
соответствующие рассматриваемой УГСН(НПС)</t>
  </si>
  <si>
    <t>Программы профессиональной переподготовки – численность прошедших очное обучение (за счет всех источников финансирования) по видам экономической деятельности,
соответствующие рассматриваемой УГСН(НПС)</t>
  </si>
  <si>
    <t>Программы профессиональной переподготовки – численность прошедших очно-заочное обучение (за счет всех источников финансирования) по видам экономической деятельности,
соответствующие рассматриваемой УГСН(НПС)</t>
  </si>
  <si>
    <t>Программы профессиональной переподготовки – численность прошедших заочное обучение (за счет всех источников финансирования) по видам экономической деятельности,
соответствующие рассматриваемой УГСН(НПС)</t>
  </si>
  <si>
    <t>Численность очных обучающихся (Б+М) за счет всех источников финансирования, по кодам УГСН, соответствующим
видам экономической деятельности в сумме, человек</t>
  </si>
  <si>
    <t>Численность очно-заочных обучающихся (Б+М) за счет всех источников финансирования, по кодам УГСН, соответствующим
видам экономической деятельности в сумме, человек</t>
  </si>
  <si>
    <t>Численность заочных обучающихся (Б+М) за счет всех источников финансирования, по кодам УГСН, соответствующим
видам экономической деятельности в сумме, человек</t>
  </si>
  <si>
    <t>Необходимо увеличивать количество проходящих ДПО по отношению к студентам по аналогиной группе специальности до 20%, причем Профессиональная переподготовка имеет в 4 раза больший вес, чем повышение квалификации, а очно-заочные и заочные идут с понижающими коэффициентами</t>
  </si>
  <si>
    <t>ДОП</t>
  </si>
  <si>
    <t>Внесение дополнительных показателей, ненормированных таблицей по отдельным направлениям</t>
  </si>
  <si>
    <t>M11</t>
  </si>
  <si>
    <t>Заявления от выпусников др.организаций</t>
  </si>
  <si>
    <t>Всего подано заявлений на поступление на I курс</t>
  </si>
  <si>
    <t>Из них от лиц с дипломом других организаций</t>
  </si>
  <si>
    <t>Поданные заявления / прием</t>
  </si>
  <si>
    <t>M12</t>
  </si>
  <si>
    <t>Доля поступающих из других университетов должна быть больше половины</t>
  </si>
  <si>
    <t>Число абитуриентов, подавших заявления на поступление на очную форму обучения</t>
  </si>
  <si>
    <t>Подавших заявления должно быть в 10 раз больше, чем поступивших на специальность (Бюджет+Платка+Целевики)</t>
  </si>
  <si>
    <t>M13</t>
  </si>
  <si>
    <t>Доля платного приема</t>
  </si>
  <si>
    <t>Всего абитуриентов, принятых на I курс на данную специальность (за счет всех источников финансирования, очная форма обучения)</t>
  </si>
  <si>
    <t>абитуриентов, поступивших по договорам о платном обучении (очная форма обучения)</t>
  </si>
  <si>
    <t>Доля поступивших платников на специальность должна быть 25%</t>
  </si>
  <si>
    <t>M14</t>
  </si>
  <si>
    <t>Суммарное число обучающихся, зачисленных на обучение за счет средств федерального бюджета на I курс обучения по всем формам обучения, на данную специальность, включая филиалы</t>
  </si>
  <si>
    <t>Суммарное КЦП по всем формам обучения (без учета отказа образовательной организации от установленных контрольных цифр приема), на данную специальность, включая филиалы</t>
  </si>
  <si>
    <t>На все КЦП за указанные 3 года по данной специальности должен быть полный набор обучающихся</t>
  </si>
  <si>
    <t>М21</t>
  </si>
  <si>
    <t>Соотношение Асп/Маг</t>
  </si>
  <si>
    <t>M22</t>
  </si>
  <si>
    <t>Доля аспиарнтов по данной специальности должна быть не менее 25%, причем в приоритете - доля очных аспирантов (очно-заочные и заочные идут с понижающим коэффициентом)</t>
  </si>
  <si>
    <t>M26</t>
  </si>
  <si>
    <t>Магистратура  - очная численность обучающихся по договорам о целевом обучении за счет всех источников финансирования, человек</t>
  </si>
  <si>
    <t>Магистратура - заочная численность обучающихся по договорам о целевом обучении за счет всех источников финансирования, человек</t>
  </si>
  <si>
    <t>Доля целевиков должна стремиться к половине от всех обучающихся по специальности (очно-заочные и заочные идут с понижающим коэффициентом)</t>
  </si>
  <si>
    <t>Ср.доходы выпускников / СПМ</t>
  </si>
  <si>
    <t>M31</t>
  </si>
  <si>
    <t>Число трудоустроенных выпускников по данной специальности</t>
  </si>
  <si>
    <t xml:space="preserve"> Среднемесячный доход трудоустроенных выпускников по данной специальности</t>
  </si>
  <si>
    <t>Величина прожиточного минимума трудоспособного населения в субъекте Российской Федерации, рублей</t>
  </si>
  <si>
    <t>Среднее отношение суммарных доходов выпускников должны быть выше среднего прожиточного минмума в регионе в 5 раз за 3 указанных года</t>
  </si>
  <si>
    <t>M32</t>
  </si>
  <si>
    <t xml:space="preserve">Количество Магистров I курса </t>
  </si>
  <si>
    <t>Количество Магистров II курса</t>
  </si>
  <si>
    <t>Отчисленных к началу второго курса не должно быть больше 20%</t>
  </si>
  <si>
    <t>М41</t>
  </si>
  <si>
    <t>М42</t>
  </si>
  <si>
    <t>М43</t>
  </si>
  <si>
    <t>М44</t>
  </si>
  <si>
    <t>из 100</t>
  </si>
  <si>
    <t>Бакалавриат - очно-заочная численность обучающихся по договорам о целевом обучении за счет всех источников финансирования, человек</t>
  </si>
  <si>
    <t>Показатели не зависящие от специальности и уровня</t>
  </si>
  <si>
    <t>М25</t>
  </si>
  <si>
    <t>При этом: вы получаете максимальный балл, если хотя бы 1 человек проходил ПКП или ППП и при этом ни один студент не обучается по данной программе (ни в Бакалавриате, ни в Магистратуре)</t>
  </si>
  <si>
    <t>Необходимо увеличивать количество проходящих ДПО по отношению к студентам по аналогичной группе специальности до 20%, причем Профессиональная переподготовка имеет в 4 раза больший вес, чем повышение квалификации, а очно-заочные и заочные идут с понижающими коэффициентами</t>
  </si>
  <si>
    <t>А11</t>
  </si>
  <si>
    <t>Трудоустроеных должно быть больше 85% (Трудоустройство по специальности или нет роли не играет)</t>
  </si>
  <si>
    <t>Соотношение защиты/выпуск</t>
  </si>
  <si>
    <t>А12</t>
  </si>
  <si>
    <t>Число выпускников аспирантуры по специальности суммарно</t>
  </si>
  <si>
    <t>Число защищенных диссертаций по специальности суммарно</t>
  </si>
  <si>
    <t>Соотношение защиты/прием</t>
  </si>
  <si>
    <t>А22</t>
  </si>
  <si>
    <t>Число лиц, принятых в аспирантуру по специальности суммарно</t>
  </si>
  <si>
    <t>Доля защит при целевом обучении</t>
  </si>
  <si>
    <t>А23</t>
  </si>
  <si>
    <t>Доля защит у целевиков должна быть 90%</t>
  </si>
  <si>
    <t>Доля защит из числа выпущенных должна быть 80%</t>
  </si>
  <si>
    <t>Доля защит из числа зачисленных должна быть 50%</t>
  </si>
  <si>
    <t>А32</t>
  </si>
  <si>
    <t>А31</t>
  </si>
  <si>
    <t>Объем доходов образовательной организации от выполнения НИОКР только из средств бюджетов бюджетной системы Российской Федерации (в том числе ПФР, ФСС, ФОМС), государственных фондов поддержки научной, научно-технической и инновационной деятельности, тыс. руб.</t>
  </si>
  <si>
    <t>Объем доходов образовательной организации от выполнения НИОКР, тыс. руб.</t>
  </si>
  <si>
    <t>Доходы от внебюджетных НИОКР на 1 НПР</t>
  </si>
  <si>
    <t>А33</t>
  </si>
  <si>
    <t>Доля иностранных аспирантов</t>
  </si>
  <si>
    <t>На каждого ППС+научного работника ежегодный суммарный доход от НИОКР должен быть в размере 1 млн. руб</t>
  </si>
  <si>
    <t>На каждого ППС+научного работника ежегодный суммарный доход от НИОКР из небюджетных источников должен быть в размере 500 тыс. руб.</t>
  </si>
  <si>
    <t>А34</t>
  </si>
  <si>
    <t>Общая численность обучающихся по программам аспирантуры, человек (за счет всех источников финансирования, по всем формам обучения)</t>
  </si>
  <si>
    <t>Общая численность иностранных обучающихся по программам аспирантуры, человек (за счет всех источников финансирования, по всем формам обучения)</t>
  </si>
  <si>
    <t>Иностранных аспирантов должно быть 15%</t>
  </si>
  <si>
    <t>Доходы на 1 НПР</t>
  </si>
  <si>
    <t>А35</t>
  </si>
  <si>
    <t>Суммарный доход организации в расчете на 1 НПР должен быть больше 5 млн. В год</t>
  </si>
  <si>
    <t>численность обучавшихся по договорам о целевом обучении, закончивших обучение в этом году с защитой диссертации</t>
  </si>
  <si>
    <t>численность обучавшихся по договорам о целевом обучении, закончивших обучение в этом году всего</t>
  </si>
  <si>
    <t>Как работать с таблицей:</t>
  </si>
  <si>
    <t>1. Вводим год, за который нам нужно узнать баллы КЦП</t>
  </si>
  <si>
    <t>2. Вводим направление подготовки - от него зависит вес каждого показателя</t>
  </si>
  <si>
    <t>3. Вводим данные в желтые ячейки (меняем их) изменение баллов будет проходить автоматически</t>
  </si>
  <si>
    <t>01.03.00 Математика и механика</t>
  </si>
  <si>
    <t>09.03.00 Информатика и вычислительная техника</t>
  </si>
  <si>
    <t>10.03.00 Информационная безопасность</t>
  </si>
  <si>
    <t>27.03.00 Управление в технических системах</t>
  </si>
  <si>
    <t>38.03.00 Экономика и управление</t>
  </si>
  <si>
    <t>39.03.00 Социология и социальная работа</t>
  </si>
  <si>
    <t>40.03.00 Юриспруденция</t>
  </si>
  <si>
    <t>41.03.00 Политические науки и регионоведение</t>
  </si>
  <si>
    <t>42.03.00 Средства массовой информации и информационно - библиотечное дело</t>
  </si>
  <si>
    <t>43.03.00 Сервис и туризм</t>
  </si>
  <si>
    <t>47.03.00 Философия, этика и религиоведение</t>
  </si>
  <si>
    <t>Выбираем направление (либо само близкое к нему):</t>
  </si>
  <si>
    <t>01.04.00 Математика и механика</t>
  </si>
  <si>
    <t>Бакалавриат:</t>
  </si>
  <si>
    <t>На каждого ППС+научного работника ежегодный суммарный доход от НИОКР  должен быть в размере 1 млн. руб</t>
  </si>
  <si>
    <t>Магистратура:</t>
  </si>
  <si>
    <t>Аспирантруа:</t>
  </si>
  <si>
    <r>
      <t xml:space="preserve">Сводные </t>
    </r>
    <r>
      <rPr>
        <b/>
        <sz val="24"/>
        <color theme="1"/>
        <rFont val="Calibri"/>
        <family val="2"/>
        <scheme val="minor"/>
      </rPr>
      <t>ранжированные</t>
    </r>
    <r>
      <rPr>
        <sz val="24"/>
        <color theme="1"/>
        <rFont val="Calibri"/>
        <family val="2"/>
        <scheme val="minor"/>
      </rPr>
      <t xml:space="preserve"> рекомендации по получению максимального значения КЦП:</t>
    </r>
  </si>
  <si>
    <t>Зачем нужна таблица?</t>
  </si>
  <si>
    <t>При изменении данных балл изменяется автоматически, поэтому вы можете менять различные данные чтобы понимать, какие показатели влияют больше всего, и какие показатели нужно поднимать</t>
  </si>
  <si>
    <t>Также, в зависимости от направления подготовки вы сможете понять, какие показатели для вас важны, а какие вообще не играют никакой роли. При изменении направления балл меняется автоматически</t>
  </si>
  <si>
    <t>09.04.00 Информатика и вычислительная техника</t>
  </si>
  <si>
    <t>10.04.00 Информационная безопасность</t>
  </si>
  <si>
    <t>38.04.00 Экономика и управление</t>
  </si>
  <si>
    <t>39.04.00 Социология и социальная работа</t>
  </si>
  <si>
    <t>40.04.00 Юриспруденция</t>
  </si>
  <si>
    <t>41.04.00 Политические науки и регионоведение</t>
  </si>
  <si>
    <t>43.04.00 Сервис и туризм</t>
  </si>
  <si>
    <t>47.04.00 Философия, этика и религиоведение</t>
  </si>
  <si>
    <t>09.06.00 Информатика и вычислительная техника</t>
  </si>
  <si>
    <t>10.06.00 Информационная безопасность</t>
  </si>
  <si>
    <t>38.06.00 Экономика и управление</t>
  </si>
  <si>
    <t>39.06.00 Социология и социальная работа</t>
  </si>
  <si>
    <t>40.06.00 Юриспруденция</t>
  </si>
  <si>
    <t>41.06.00 Политические науки и регионоведение</t>
  </si>
  <si>
    <t>47.06.00 Философия, этика и религиоведение</t>
  </si>
  <si>
    <t xml:space="preserve">Трудоустроеных должно быть больше 85% </t>
  </si>
  <si>
    <t>В первую очередь нужно увеличивать количество очных аспирантов (трехкратный коэффициент), затем - очных магистрантов (очно-заочные (коэфиициент 0,25) и заочные (коэффициент 0,1) идут с понижающим коэффициентом)</t>
  </si>
  <si>
    <t>ср. данные</t>
  </si>
  <si>
    <t>Отчисленных к 4 курсу не должно быть больше 40%, если более показатель снижается</t>
  </si>
  <si>
    <t>Внимание!!! перечень показателей может быть изменен в зависимости от направления подготовки. В результате вес показателя будет 0.</t>
  </si>
  <si>
    <t>Если открывается новая программа</t>
  </si>
  <si>
    <t>Показатели 1 группы берется как средние значенияпо данным собранным от остальных университетов</t>
  </si>
  <si>
    <t>Открыть программы лучше с высоких уровней</t>
  </si>
  <si>
    <t>Показатели, которые берутся для расчета в целом по Финансовому университету у всех . ВАЖНО!!! Одинаковые у всех специальностей</t>
  </si>
  <si>
    <t>70 баллов - запрос удовлетворяется полностью</t>
  </si>
  <si>
    <t>меньше 60 баллов - 0 КЦП</t>
  </si>
  <si>
    <t>Приложение к Порядку проведения конкурса на распределение контрольных цифр приема по специальностям и направлениям подготовки и (или) укрупненным группам специальностей и направлений подготовки для обучения по образовательным программам высшего образования за счет бюджетных ассигнований федерального бюджета Приказа Минобрнауки России от 03.04.2020 N 550 (ред. от 30.11.2020) "Об утверждении Порядка проведения конкурса на распределение контрольных цифр приема по специальностям и направлениям подготовки и (или) укрупненным группам специальностей и направлений подготовки для обучения по образовательным программам высшего образования за счет бюджетных ассигнований федерального бюджета":</t>
  </si>
  <si>
    <r>
      <rPr>
        <b/>
        <sz val="11"/>
        <color theme="1"/>
        <rFont val="Calibri"/>
        <family val="2"/>
        <charset val="204"/>
        <scheme val="minor"/>
      </rPr>
      <t xml:space="preserve">Критериями принятия решения о распределении контрольных цифр приема являются: </t>
    </r>
    <r>
      <rPr>
        <sz val="11"/>
        <color theme="1"/>
        <rFont val="Calibri"/>
        <family val="2"/>
        <scheme val="minor"/>
      </rPr>
      <t>а) сводная оценка заявки образовательной организации, определяемая раздельно для головной организации и каждого филиала образовательной организации (при наличии); б) показатель среднего арифметического значения контрольных цифр приема, установленных для образовательных организаций в соответствии с установленными Министерством науки и высшего образования Российской Федерации контрольными цифрами приема на 2018/19, 2019/20 и 2020/21 учебные годы (при проведении конкурса в 2020 - 2022 годах).</t>
    </r>
  </si>
  <si>
    <t>15.04.00 Технологические машины и оборудование</t>
  </si>
  <si>
    <t>добавочные баллы из-за отсутсвия загруженных данных</t>
  </si>
  <si>
    <t>добавочные баллы из-за отсутсвия загруженных данных=</t>
  </si>
  <si>
    <t>Численность очных обучающихся инвалидов и лиц с ОВЗ за счет всех источников финансирования по направлению подготовки, человек</t>
  </si>
  <si>
    <t>Численность очно-заочных обучающихся инвалидов и лиц с ОВЗ за счет всех источников финансирования по направлению подготовки, человек</t>
  </si>
  <si>
    <t>Численность заочных обучающихся инвалидов и лиц с ОВЗ за счет всех источников финансирования по направлению подготовки, человек</t>
  </si>
  <si>
    <t>Подавших заявления на очную должно быть в 10 раз больше, чем поступивших на специальность (Бюджет+Платка+Целевики)</t>
  </si>
  <si>
    <t>ы</t>
  </si>
  <si>
    <t>распределение не осуществляется в отношении образовательных организаций, сводная оценка заявки которых ниже минимального допустимого значения, установленного в объявлении о проведении конкурса</t>
  </si>
  <si>
    <t>При равенстве значений сводной оценки заявки предпочтение отдается заявке, поступившей ранее, а при равенстве значений сводной оценки заявки филиалов одной образовательной организации ранжирование осуществляется в порядке убывания объема контрольных цифр приема, установленных этим филиалам по соответствующей УГСН (НПС) и форме обучения на три предыдущих учебных года.</t>
  </si>
  <si>
    <t>Если объем контрольных цифр приема, распределенный образовательной организации по итогам всех этапов, оказывается меньше предложения образовательной организации по установлению контрольных цифр приема (минимального значения), соответствующий объем контрольных цифр приема, распределенный такой образовательной организации, принимается равным нулю.</t>
  </si>
  <si>
    <t>значит, необходимо минимальное значение стаить 1, чтобы получть хотя бы его и на след год по показателям получить максимальные значения</t>
  </si>
  <si>
    <t>45.03.00 Психология</t>
  </si>
  <si>
    <t>37.03.00 Психология</t>
  </si>
  <si>
    <t>47.03.00 Философия</t>
  </si>
  <si>
    <t>15.04.00 Мехатроника и робототехника</t>
  </si>
  <si>
    <t>42.04.00 Мехатроника и робототехника</t>
  </si>
  <si>
    <t>45.04.00 Лингвистика</t>
  </si>
  <si>
    <t>47.04.00 Философия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</si>
</sst>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b/>
      <sz val="9"/>
      <color indexed="81"/>
      <name val="Tahoma"/>
      <family val="2"/>
      <charset val="204"/>
    </font>
    <font>
      <sz val="11"/>
      <name val="Calibri"/>
      <family val="2"/>
      <charset val="204"/>
      <scheme val="minor"/>
    </font>
    <font>
      <sz val="22"/>
      <color theme="1"/>
      <name val="Calibri"/>
      <family val="2"/>
      <scheme val="minor"/>
    </font>
    <font>
      <sz val="11"/>
      <color rgb="FF000000"/>
      <name val="Calibri"/>
      <family val="2"/>
      <scheme val="minor"/>
    </font>
    <font>
      <b/>
      <sz val="11"/>
      <color rgb="FF000000"/>
      <name val="Calibri"/>
      <family val="2"/>
      <charset val="204"/>
      <scheme val="minor"/>
    </font>
    <font>
      <sz val="11"/>
      <name val="Calibri"/>
      <family val="2"/>
      <scheme val="minor"/>
    </font>
    <font>
      <sz val="18"/>
      <color theme="1"/>
      <name val="Calibri"/>
      <family val="2"/>
      <scheme val="minor"/>
    </font>
    <font>
      <sz val="24"/>
      <color theme="1"/>
      <name val="Calibri"/>
      <family val="2"/>
      <scheme val="minor"/>
    </font>
    <font>
      <b/>
      <sz val="24"/>
      <color theme="1"/>
      <name val="Calibri"/>
      <family val="2"/>
      <scheme val="minor"/>
    </font>
    <font>
      <sz val="11"/>
      <color rgb="FFFF0000"/>
      <name val="Calibri"/>
      <family val="2"/>
      <scheme val="minor"/>
    </font>
    <font>
      <sz val="12"/>
      <color rgb="FF222222"/>
      <name val="Arial"/>
      <family val="2"/>
      <charset val="204"/>
    </font>
  </fonts>
  <fills count="15">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FFFF99"/>
        <bgColor indexed="64"/>
      </patternFill>
    </fill>
    <fill>
      <patternFill patternType="solid">
        <fgColor rgb="FFFFFF00"/>
        <bgColor rgb="FF000000"/>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96">
    <xf numFmtId="0" fontId="0" fillId="0" borderId="0" xfId="0"/>
    <xf numFmtId="0" fontId="7" fillId="0" borderId="0" xfId="0" applyFont="1"/>
    <xf numFmtId="0" fontId="7" fillId="3" borderId="0" xfId="0" applyFont="1" applyFill="1"/>
    <xf numFmtId="0" fontId="7" fillId="4" borderId="0" xfId="0" applyFont="1" applyFill="1"/>
    <xf numFmtId="0" fontId="0" fillId="0" borderId="0" xfId="0" applyAlignment="1">
      <alignment horizontal="center"/>
    </xf>
    <xf numFmtId="0" fontId="7" fillId="0" borderId="0" xfId="0" applyFont="1" applyAlignment="1">
      <alignment horizontal="center"/>
    </xf>
    <xf numFmtId="0" fontId="0" fillId="2" borderId="0" xfId="0" applyFill="1" applyAlignment="1">
      <alignment horizontal="center"/>
    </xf>
    <xf numFmtId="9" fontId="7" fillId="0" borderId="0" xfId="1" applyFont="1"/>
    <xf numFmtId="0" fontId="9" fillId="0" borderId="0" xfId="0" applyFont="1" applyAlignment="1">
      <alignment horizontal="center"/>
    </xf>
    <xf numFmtId="0" fontId="0" fillId="0" borderId="0" xfId="0" applyFill="1"/>
    <xf numFmtId="0" fontId="0" fillId="4" borderId="0" xfId="0" applyFill="1" applyAlignment="1">
      <alignment horizontal="center"/>
    </xf>
    <xf numFmtId="0" fontId="7" fillId="0" borderId="0" xfId="0" applyFont="1" applyFill="1"/>
    <xf numFmtId="0" fontId="0" fillId="0" borderId="0" xfId="0" applyAlignment="1"/>
    <xf numFmtId="0" fontId="7" fillId="0" borderId="0" xfId="0" applyFont="1" applyAlignment="1"/>
    <xf numFmtId="0" fontId="5" fillId="0" borderId="0" xfId="0" applyFont="1" applyAlignment="1">
      <alignment horizontal="center"/>
    </xf>
    <xf numFmtId="0" fontId="0" fillId="0" borderId="0" xfId="0" applyFill="1" applyAlignment="1">
      <alignment horizontal="center"/>
    </xf>
    <xf numFmtId="0" fontId="0" fillId="0" borderId="0" xfId="0" applyFill="1" applyAlignment="1"/>
    <xf numFmtId="0" fontId="5" fillId="0" borderId="0" xfId="0" applyFont="1" applyFill="1" applyAlignment="1">
      <alignment horizontal="center"/>
    </xf>
    <xf numFmtId="0" fontId="7" fillId="0" borderId="0" xfId="0" applyFont="1" applyFill="1" applyAlignment="1">
      <alignment horizontal="center"/>
    </xf>
    <xf numFmtId="0" fontId="4" fillId="0" borderId="0" xfId="0" applyFont="1" applyAlignment="1"/>
    <xf numFmtId="0" fontId="4" fillId="0" borderId="0" xfId="0" applyFont="1"/>
    <xf numFmtId="0" fontId="7" fillId="0" borderId="0" xfId="0" applyFont="1" applyFill="1" applyAlignment="1">
      <alignment horizontal="center"/>
    </xf>
    <xf numFmtId="0" fontId="0" fillId="2" borderId="1" xfId="0" applyFill="1" applyBorder="1"/>
    <xf numFmtId="0" fontId="0" fillId="0" borderId="1" xfId="0" applyFill="1" applyBorder="1"/>
    <xf numFmtId="0" fontId="7" fillId="5" borderId="1" xfId="0" applyFont="1" applyFill="1" applyBorder="1"/>
    <xf numFmtId="0" fontId="0" fillId="5" borderId="1" xfId="0" applyFill="1" applyBorder="1"/>
    <xf numFmtId="0" fontId="5" fillId="0" borderId="1" xfId="0" applyFont="1" applyBorder="1" applyAlignment="1"/>
    <xf numFmtId="0" fontId="5" fillId="0" borderId="1" xfId="0" applyFont="1" applyFill="1" applyBorder="1" applyAlignment="1">
      <alignment horizontal="center"/>
    </xf>
    <xf numFmtId="0" fontId="0" fillId="0" borderId="1" xfId="0" applyFill="1" applyBorder="1" applyAlignment="1"/>
    <xf numFmtId="0" fontId="0" fillId="2" borderId="3" xfId="0" applyFill="1" applyBorder="1"/>
    <xf numFmtId="0" fontId="7" fillId="0" borderId="2" xfId="0" applyFont="1" applyBorder="1" applyAlignment="1"/>
    <xf numFmtId="0" fontId="7" fillId="0" borderId="2" xfId="0" applyFont="1" applyBorder="1" applyAlignment="1">
      <alignment horizontal="center"/>
    </xf>
    <xf numFmtId="0" fontId="7" fillId="0" borderId="2" xfId="0" applyFont="1" applyBorder="1"/>
    <xf numFmtId="9" fontId="7" fillId="0" borderId="2" xfId="1" applyFont="1" applyBorder="1"/>
    <xf numFmtId="0" fontId="0" fillId="0" borderId="2" xfId="0" applyBorder="1"/>
    <xf numFmtId="0" fontId="12" fillId="0" borderId="0" xfId="0" applyFont="1"/>
    <xf numFmtId="0" fontId="12" fillId="0" borderId="0" xfId="0" applyFont="1" applyAlignment="1">
      <alignment horizontal="center"/>
    </xf>
    <xf numFmtId="0" fontId="11" fillId="0" borderId="0" xfId="0" applyFont="1"/>
    <xf numFmtId="0" fontId="11" fillId="6" borderId="1" xfId="0" applyFont="1" applyFill="1" applyBorder="1"/>
    <xf numFmtId="0" fontId="4" fillId="2" borderId="1" xfId="0" applyFont="1" applyFill="1" applyBorder="1"/>
    <xf numFmtId="0" fontId="13" fillId="0" borderId="0" xfId="0" applyFont="1" applyAlignment="1"/>
    <xf numFmtId="0" fontId="3" fillId="0" borderId="0" xfId="0" applyFont="1"/>
    <xf numFmtId="0" fontId="10" fillId="0" borderId="0" xfId="0" applyFont="1" applyBorder="1" applyAlignment="1">
      <alignment vertical="center" textRotation="90"/>
    </xf>
    <xf numFmtId="0" fontId="0" fillId="2" borderId="1" xfId="0" applyFill="1" applyBorder="1" applyAlignment="1">
      <alignment horizontal="center"/>
    </xf>
    <xf numFmtId="0" fontId="0" fillId="7" borderId="0" xfId="0" applyFill="1"/>
    <xf numFmtId="0" fontId="7" fillId="7" borderId="0" xfId="0" applyFont="1" applyFill="1"/>
    <xf numFmtId="0" fontId="7" fillId="8" borderId="0" xfId="0" applyFont="1" applyFill="1"/>
    <xf numFmtId="0" fontId="7" fillId="9" borderId="0" xfId="0" applyFont="1" applyFill="1"/>
    <xf numFmtId="0" fontId="0" fillId="9" borderId="0" xfId="0" applyFill="1"/>
    <xf numFmtId="0" fontId="7" fillId="10" borderId="0" xfId="0" applyFont="1" applyFill="1"/>
    <xf numFmtId="0" fontId="0" fillId="10" borderId="0" xfId="0" applyFill="1"/>
    <xf numFmtId="0" fontId="7" fillId="11" borderId="0" xfId="0" applyFont="1" applyFill="1"/>
    <xf numFmtId="0" fontId="0" fillId="11" borderId="0" xfId="0" applyFill="1"/>
    <xf numFmtId="0" fontId="7" fillId="12" borderId="0" xfId="0" applyFont="1" applyFill="1"/>
    <xf numFmtId="0" fontId="0" fillId="12" borderId="0" xfId="0" applyFill="1"/>
    <xf numFmtId="0" fontId="0" fillId="3" borderId="0" xfId="0" applyFill="1"/>
    <xf numFmtId="0" fontId="0" fillId="0" borderId="0" xfId="0" applyFill="1" applyBorder="1" applyAlignment="1">
      <alignment vertical="center" wrapText="1"/>
    </xf>
    <xf numFmtId="0" fontId="17" fillId="0" borderId="0" xfId="0" applyFont="1"/>
    <xf numFmtId="0" fontId="0" fillId="2" borderId="1" xfId="0" applyFill="1" applyBorder="1" applyAlignment="1">
      <alignment horizontal="center" wrapText="1"/>
    </xf>
    <xf numFmtId="0" fontId="7" fillId="3" borderId="2" xfId="0" applyFont="1" applyFill="1" applyBorder="1"/>
    <xf numFmtId="0" fontId="7" fillId="0" borderId="0" xfId="0" applyFont="1" applyFill="1" applyAlignment="1">
      <alignment horizontal="center"/>
    </xf>
    <xf numFmtId="0" fontId="0" fillId="7" borderId="0" xfId="0" applyFill="1" applyAlignment="1">
      <alignment wrapText="1"/>
    </xf>
    <xf numFmtId="0" fontId="2" fillId="0" borderId="0" xfId="0" applyFont="1" applyAlignment="1">
      <alignment wrapText="1"/>
    </xf>
    <xf numFmtId="0" fontId="7" fillId="0" borderId="0" xfId="0" applyFont="1" applyFill="1" applyAlignment="1">
      <alignment horizontal="center"/>
    </xf>
    <xf numFmtId="0" fontId="7" fillId="0" borderId="1" xfId="0" applyFont="1" applyBorder="1" applyAlignment="1"/>
    <xf numFmtId="0" fontId="1" fillId="0" borderId="1" xfId="0" applyFont="1" applyFill="1" applyBorder="1" applyAlignment="1">
      <alignment horizontal="center"/>
    </xf>
    <xf numFmtId="0" fontId="0" fillId="11" borderId="0" xfId="0" applyFill="1" applyAlignment="1">
      <alignment wrapText="1"/>
    </xf>
    <xf numFmtId="0" fontId="7" fillId="11" borderId="0" xfId="0" applyFont="1" applyFill="1" applyAlignment="1">
      <alignment wrapText="1"/>
    </xf>
    <xf numFmtId="0" fontId="18" fillId="0" borderId="0" xfId="0" applyFont="1"/>
    <xf numFmtId="0" fontId="15" fillId="7" borderId="0" xfId="0" applyFont="1" applyFill="1" applyAlignment="1">
      <alignment horizontal="left"/>
    </xf>
    <xf numFmtId="0" fontId="15" fillId="7" borderId="0" xfId="0" applyFont="1" applyFill="1" applyAlignment="1">
      <alignment horizontal="left" vertical="top"/>
    </xf>
    <xf numFmtId="0" fontId="0" fillId="12" borderId="4"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6" xfId="0" applyFill="1" applyBorder="1" applyAlignment="1">
      <alignment horizontal="center" vertical="center" wrapText="1"/>
    </xf>
    <xf numFmtId="0" fontId="0" fillId="3" borderId="2" xfId="0" applyFill="1" applyBorder="1" applyAlignment="1">
      <alignment horizontal="center" vertical="center" wrapText="1"/>
    </xf>
    <xf numFmtId="0" fontId="0" fillId="3" borderId="0" xfId="0" applyFill="1" applyBorder="1" applyAlignment="1">
      <alignment horizontal="center" vertical="center" wrapText="1"/>
    </xf>
    <xf numFmtId="0" fontId="0" fillId="9" borderId="0" xfId="0" applyFill="1" applyAlignment="1">
      <alignment horizontal="left" vertical="top" wrapText="1"/>
    </xf>
    <xf numFmtId="0" fontId="0" fillId="9" borderId="0" xfId="0" applyFill="1" applyAlignment="1">
      <alignment horizontal="center" wrapText="1"/>
    </xf>
    <xf numFmtId="0" fontId="0" fillId="10" borderId="0" xfId="0" applyFill="1" applyAlignment="1">
      <alignment horizontal="center" wrapText="1"/>
    </xf>
    <xf numFmtId="0" fontId="0" fillId="10" borderId="0" xfId="0" applyFill="1" applyAlignment="1">
      <alignment horizontal="center" vertical="center" wrapText="1"/>
    </xf>
    <xf numFmtId="0" fontId="0" fillId="10" borderId="0" xfId="0" applyFill="1" applyBorder="1" applyAlignment="1">
      <alignment horizontal="center" vertical="center" wrapText="1"/>
    </xf>
    <xf numFmtId="0" fontId="0" fillId="9" borderId="0" xfId="0" applyFill="1" applyAlignment="1">
      <alignment horizontal="center" vertical="center" wrapText="1"/>
    </xf>
    <xf numFmtId="0" fontId="0" fillId="11" borderId="0" xfId="0" applyFill="1" applyAlignment="1">
      <alignment horizontal="center" wrapText="1"/>
    </xf>
    <xf numFmtId="0" fontId="0" fillId="3" borderId="0" xfId="0" applyFill="1" applyAlignment="1">
      <alignment horizontal="center" vertical="center" wrapText="1"/>
    </xf>
    <xf numFmtId="0" fontId="0" fillId="11" borderId="0" xfId="0" applyFill="1" applyAlignment="1">
      <alignment horizontal="center" vertical="center" wrapText="1"/>
    </xf>
    <xf numFmtId="0" fontId="0" fillId="12" borderId="0" xfId="0" applyFill="1" applyAlignment="1">
      <alignment horizontal="center" wrapText="1"/>
    </xf>
    <xf numFmtId="0" fontId="7" fillId="0" borderId="0" xfId="0" applyFont="1" applyFill="1" applyAlignment="1">
      <alignment horizontal="center"/>
    </xf>
    <xf numFmtId="0" fontId="0" fillId="14" borderId="0" xfId="0" applyFill="1" applyAlignment="1">
      <alignment horizontal="center" wrapText="1"/>
    </xf>
    <xf numFmtId="0" fontId="0" fillId="4" borderId="0" xfId="0" applyFill="1" applyAlignment="1">
      <alignment horizontal="center" vertical="center" wrapText="1"/>
    </xf>
    <xf numFmtId="0" fontId="0" fillId="14" borderId="0" xfId="0" applyFill="1" applyAlignment="1">
      <alignment horizontal="center" vertical="center" wrapText="1"/>
    </xf>
    <xf numFmtId="0" fontId="0" fillId="13" borderId="0" xfId="0" applyFill="1" applyAlignment="1">
      <alignment horizontal="center" vertical="center" wrapText="1"/>
    </xf>
    <xf numFmtId="0" fontId="10" fillId="0" borderId="2" xfId="0" applyFont="1" applyBorder="1" applyAlignment="1">
      <alignment horizontal="center" vertical="center" textRotation="90"/>
    </xf>
    <xf numFmtId="0" fontId="10" fillId="0" borderId="0" xfId="0" applyFont="1" applyBorder="1" applyAlignment="1">
      <alignment horizontal="center" vertical="center" textRotation="90"/>
    </xf>
    <xf numFmtId="0" fontId="14" fillId="0" borderId="2" xfId="0" applyFont="1" applyBorder="1" applyAlignment="1">
      <alignment horizontal="center" vertical="center" textRotation="90"/>
    </xf>
    <xf numFmtId="0" fontId="14" fillId="0" borderId="0" xfId="0" applyFont="1" applyBorder="1" applyAlignment="1">
      <alignment horizontal="center" vertical="center" textRotation="90"/>
    </xf>
    <xf numFmtId="0" fontId="0" fillId="8" borderId="0" xfId="0" applyFill="1" applyAlignment="1">
      <alignment horizontal="center" vertical="center" wrapText="1"/>
    </xf>
  </cellXfs>
  <cellStyles count="2">
    <cellStyle name="Обычный" xfId="0" builtinId="0"/>
    <cellStyle name="Процентный" xfId="1" builtinId="5"/>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26.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27.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C2:AI87"/>
  <sheetViews>
    <sheetView tabSelected="1" topLeftCell="A10" workbookViewId="0">
      <selection activeCell="C83" sqref="C83"/>
    </sheetView>
  </sheetViews>
  <sheetFormatPr defaultRowHeight="15" x14ac:dyDescent="0.25"/>
  <cols>
    <col min="1" max="2" width="9.140625" style="44"/>
    <col min="3" max="3" width="196.7109375" style="44" customWidth="1"/>
    <col min="4" max="16384" width="9.140625" style="44"/>
  </cols>
  <sheetData>
    <row r="2" spans="3:35" x14ac:dyDescent="0.25">
      <c r="C2" s="69" t="s">
        <v>198</v>
      </c>
      <c r="D2" s="69"/>
      <c r="E2" s="69"/>
      <c r="F2" s="69"/>
      <c r="G2" s="69"/>
      <c r="H2" s="69"/>
      <c r="I2" s="69"/>
      <c r="J2" s="69"/>
    </row>
    <row r="3" spans="3:35" x14ac:dyDescent="0.25">
      <c r="C3" s="69"/>
      <c r="D3" s="69"/>
      <c r="E3" s="69"/>
      <c r="F3" s="69"/>
      <c r="G3" s="69"/>
      <c r="H3" s="69"/>
      <c r="I3" s="69"/>
      <c r="J3" s="69"/>
    </row>
    <row r="4" spans="3:35" x14ac:dyDescent="0.25">
      <c r="C4" t="s">
        <v>81</v>
      </c>
    </row>
    <row r="5" spans="3:35" x14ac:dyDescent="0.25">
      <c r="C5" s="44" t="s">
        <v>199</v>
      </c>
    </row>
    <row r="6" spans="3:35" x14ac:dyDescent="0.25">
      <c r="C6" s="44" t="s">
        <v>200</v>
      </c>
    </row>
    <row r="12" spans="3:35" ht="15" customHeight="1" x14ac:dyDescent="0.25">
      <c r="C12" s="69" t="s">
        <v>176</v>
      </c>
      <c r="D12" s="69"/>
      <c r="E12" s="69"/>
      <c r="F12" s="69"/>
      <c r="G12" s="69"/>
      <c r="H12" s="69"/>
      <c r="I12" s="69"/>
      <c r="J12" s="69"/>
      <c r="K12" s="69"/>
      <c r="L12" s="69"/>
    </row>
    <row r="13" spans="3:35" ht="15.75" customHeight="1" x14ac:dyDescent="0.25">
      <c r="C13" s="69"/>
      <c r="D13" s="69"/>
      <c r="E13" s="69"/>
      <c r="F13" s="69"/>
      <c r="G13" s="69"/>
      <c r="H13" s="69"/>
      <c r="I13" s="69"/>
      <c r="J13" s="69"/>
      <c r="K13" s="69"/>
      <c r="L13" s="69"/>
      <c r="AA13" s="44" t="s">
        <v>180</v>
      </c>
      <c r="AE13" s="44" t="s">
        <v>192</v>
      </c>
      <c r="AI13" s="44" t="s">
        <v>209</v>
      </c>
    </row>
    <row r="14" spans="3:35" x14ac:dyDescent="0.25">
      <c r="C14" s="44" t="s">
        <v>177</v>
      </c>
      <c r="AA14" s="44" t="s">
        <v>181</v>
      </c>
      <c r="AE14" s="44" t="s">
        <v>201</v>
      </c>
      <c r="AI14" s="44" t="s">
        <v>210</v>
      </c>
    </row>
    <row r="15" spans="3:35" x14ac:dyDescent="0.25">
      <c r="C15" s="44" t="s">
        <v>178</v>
      </c>
      <c r="AA15" s="44" t="s">
        <v>182</v>
      </c>
      <c r="AE15" s="44" t="s">
        <v>202</v>
      </c>
      <c r="AI15" s="44" t="s">
        <v>211</v>
      </c>
    </row>
    <row r="16" spans="3:35" x14ac:dyDescent="0.25">
      <c r="C16" s="44" t="s">
        <v>179</v>
      </c>
      <c r="AA16" s="44" t="s">
        <v>183</v>
      </c>
      <c r="AE16" s="44" t="s">
        <v>203</v>
      </c>
      <c r="AI16" s="44" t="s">
        <v>212</v>
      </c>
    </row>
    <row r="17" spans="3:35" x14ac:dyDescent="0.25">
      <c r="AA17" s="44" t="s">
        <v>184</v>
      </c>
      <c r="AE17" s="44" t="s">
        <v>204</v>
      </c>
      <c r="AI17" s="44" t="s">
        <v>213</v>
      </c>
    </row>
    <row r="18" spans="3:35" x14ac:dyDescent="0.25">
      <c r="AA18" s="44" t="s">
        <v>185</v>
      </c>
      <c r="AE18" s="44" t="s">
        <v>205</v>
      </c>
      <c r="AI18" s="44" t="s">
        <v>214</v>
      </c>
    </row>
    <row r="19" spans="3:35" ht="15" customHeight="1" x14ac:dyDescent="0.25">
      <c r="C19" s="70" t="s">
        <v>197</v>
      </c>
      <c r="D19" s="70"/>
      <c r="E19" s="70"/>
      <c r="F19" s="70"/>
      <c r="G19" s="70"/>
      <c r="H19" s="70"/>
      <c r="I19" s="70"/>
      <c r="J19" s="70"/>
      <c r="K19" s="70"/>
      <c r="L19" s="70"/>
      <c r="M19" s="70"/>
      <c r="N19" s="70"/>
      <c r="O19" s="70"/>
      <c r="P19" s="70"/>
      <c r="Q19" s="70"/>
      <c r="R19" s="70"/>
      <c r="S19" s="70"/>
      <c r="T19" s="70"/>
      <c r="U19" s="70"/>
      <c r="V19" s="70"/>
      <c r="AA19" s="44" t="s">
        <v>186</v>
      </c>
      <c r="AE19" s="44" t="s">
        <v>206</v>
      </c>
      <c r="AI19" s="44" t="s">
        <v>215</v>
      </c>
    </row>
    <row r="20" spans="3:35" ht="15" customHeight="1" x14ac:dyDescent="0.25">
      <c r="C20" s="70"/>
      <c r="D20" s="70"/>
      <c r="E20" s="70"/>
      <c r="F20" s="70"/>
      <c r="G20" s="70"/>
      <c r="H20" s="70"/>
      <c r="I20" s="70"/>
      <c r="J20" s="70"/>
      <c r="K20" s="70"/>
      <c r="L20" s="70"/>
      <c r="M20" s="70"/>
      <c r="N20" s="70"/>
      <c r="O20" s="70"/>
      <c r="P20" s="70"/>
      <c r="Q20" s="70"/>
      <c r="R20" s="70"/>
      <c r="S20" s="70"/>
      <c r="T20" s="70"/>
      <c r="U20" s="70"/>
      <c r="V20" s="70"/>
      <c r="AA20" s="44" t="s">
        <v>187</v>
      </c>
      <c r="AE20" s="44" t="s">
        <v>207</v>
      </c>
    </row>
    <row r="21" spans="3:35" x14ac:dyDescent="0.25">
      <c r="C21" s="45" t="s">
        <v>193</v>
      </c>
      <c r="AA21" s="44" t="s">
        <v>188</v>
      </c>
      <c r="AE21" s="44" t="s">
        <v>208</v>
      </c>
    </row>
    <row r="22" spans="3:35" x14ac:dyDescent="0.25">
      <c r="C22" s="44" t="s">
        <v>76</v>
      </c>
      <c r="AA22" s="44" t="s">
        <v>189</v>
      </c>
      <c r="AE22" s="44" t="s">
        <v>229</v>
      </c>
    </row>
    <row r="23" spans="3:35" x14ac:dyDescent="0.25">
      <c r="C23" s="44" t="s">
        <v>9</v>
      </c>
      <c r="AA23" s="44" t="s">
        <v>190</v>
      </c>
    </row>
    <row r="24" spans="3:35" x14ac:dyDescent="0.25">
      <c r="C24" s="44" t="s">
        <v>216</v>
      </c>
    </row>
    <row r="25" spans="3:35" x14ac:dyDescent="0.25">
      <c r="C25" s="44" t="s">
        <v>78</v>
      </c>
    </row>
    <row r="26" spans="3:35" x14ac:dyDescent="0.25">
      <c r="C26" s="44" t="s">
        <v>77</v>
      </c>
    </row>
    <row r="27" spans="3:35" x14ac:dyDescent="0.25">
      <c r="C27" s="44" t="s">
        <v>35</v>
      </c>
    </row>
    <row r="28" spans="3:35" x14ac:dyDescent="0.25">
      <c r="C28" s="44" t="s">
        <v>95</v>
      </c>
    </row>
    <row r="29" spans="3:35" x14ac:dyDescent="0.25">
      <c r="C29" s="44" t="s">
        <v>142</v>
      </c>
    </row>
    <row r="30" spans="3:35" x14ac:dyDescent="0.25">
      <c r="C30" s="44" t="s">
        <v>41</v>
      </c>
    </row>
    <row r="31" spans="3:35" x14ac:dyDescent="0.25">
      <c r="C31" s="44" t="s">
        <v>51</v>
      </c>
    </row>
    <row r="32" spans="3:35" x14ac:dyDescent="0.25">
      <c r="C32" s="44" t="s">
        <v>194</v>
      </c>
    </row>
    <row r="34" spans="3:3" x14ac:dyDescent="0.25">
      <c r="C34" s="45" t="s">
        <v>195</v>
      </c>
    </row>
    <row r="35" spans="3:3" x14ac:dyDescent="0.25">
      <c r="C35" s="44" t="s">
        <v>76</v>
      </c>
    </row>
    <row r="36" spans="3:3" x14ac:dyDescent="0.25">
      <c r="C36" s="44" t="s">
        <v>129</v>
      </c>
    </row>
    <row r="37" spans="3:3" x14ac:dyDescent="0.25">
      <c r="C37" s="44" t="s">
        <v>104</v>
      </c>
    </row>
    <row r="38" spans="3:3" x14ac:dyDescent="0.25">
      <c r="C38" s="44" t="s">
        <v>123</v>
      </c>
    </row>
    <row r="39" spans="3:3" x14ac:dyDescent="0.25">
      <c r="C39" s="44" t="s">
        <v>119</v>
      </c>
    </row>
    <row r="40" spans="3:3" x14ac:dyDescent="0.25">
      <c r="C40" s="44" t="s">
        <v>143</v>
      </c>
    </row>
    <row r="41" spans="3:3" x14ac:dyDescent="0.25">
      <c r="C41" s="44" t="s">
        <v>142</v>
      </c>
    </row>
    <row r="42" spans="3:3" x14ac:dyDescent="0.25">
      <c r="C42" s="44" t="s">
        <v>59</v>
      </c>
    </row>
    <row r="43" spans="3:3" x14ac:dyDescent="0.25">
      <c r="C43" s="44" t="s">
        <v>79</v>
      </c>
    </row>
    <row r="44" spans="3:3" x14ac:dyDescent="0.25">
      <c r="C44" s="44" t="s">
        <v>78</v>
      </c>
    </row>
    <row r="45" spans="3:3" x14ac:dyDescent="0.25">
      <c r="C45" s="44" t="s">
        <v>77</v>
      </c>
    </row>
    <row r="46" spans="3:3" x14ac:dyDescent="0.25">
      <c r="C46" s="44" t="s">
        <v>106</v>
      </c>
    </row>
    <row r="47" spans="3:3" x14ac:dyDescent="0.25">
      <c r="C47" s="44" t="s">
        <v>111</v>
      </c>
    </row>
    <row r="48" spans="3:3" x14ac:dyDescent="0.25">
      <c r="C48" s="44" t="s">
        <v>115</v>
      </c>
    </row>
    <row r="49" spans="3:3" x14ac:dyDescent="0.25">
      <c r="C49" s="44" t="s">
        <v>133</v>
      </c>
    </row>
    <row r="50" spans="3:3" x14ac:dyDescent="0.25">
      <c r="C50" s="44" t="s">
        <v>17</v>
      </c>
    </row>
    <row r="51" spans="3:3" x14ac:dyDescent="0.25">
      <c r="C51" s="45" t="s">
        <v>196</v>
      </c>
    </row>
    <row r="52" spans="3:3" x14ac:dyDescent="0.25">
      <c r="C52" s="44" t="s">
        <v>156</v>
      </c>
    </row>
    <row r="53" spans="3:3" x14ac:dyDescent="0.25">
      <c r="C53" s="44" t="s">
        <v>157</v>
      </c>
    </row>
    <row r="54" spans="3:3" x14ac:dyDescent="0.25">
      <c r="C54" s="44" t="s">
        <v>165</v>
      </c>
    </row>
    <row r="55" spans="3:3" x14ac:dyDescent="0.25">
      <c r="C55" s="44" t="s">
        <v>59</v>
      </c>
    </row>
    <row r="56" spans="3:3" x14ac:dyDescent="0.25">
      <c r="C56" s="44" t="s">
        <v>166</v>
      </c>
    </row>
    <row r="57" spans="3:3" x14ac:dyDescent="0.25">
      <c r="C57" s="44" t="s">
        <v>170</v>
      </c>
    </row>
    <row r="58" spans="3:3" x14ac:dyDescent="0.25">
      <c r="C58" s="44" t="s">
        <v>173</v>
      </c>
    </row>
    <row r="59" spans="3:3" x14ac:dyDescent="0.25">
      <c r="C59" s="44" t="s">
        <v>10</v>
      </c>
    </row>
    <row r="60" spans="3:3" x14ac:dyDescent="0.25">
      <c r="C60" s="44" t="s">
        <v>155</v>
      </c>
    </row>
    <row r="67" spans="3:3" x14ac:dyDescent="0.25">
      <c r="C67" s="44" t="s">
        <v>225</v>
      </c>
    </row>
    <row r="68" spans="3:3" x14ac:dyDescent="0.25">
      <c r="C68" s="44" t="s">
        <v>226</v>
      </c>
    </row>
    <row r="73" spans="3:3" ht="60" x14ac:dyDescent="0.25">
      <c r="C73" s="61" t="s">
        <v>227</v>
      </c>
    </row>
    <row r="74" spans="3:3" ht="60" x14ac:dyDescent="0.25">
      <c r="C74" s="62" t="s">
        <v>228</v>
      </c>
    </row>
    <row r="78" spans="3:3" x14ac:dyDescent="0.25">
      <c r="C78" s="45" t="s">
        <v>221</v>
      </c>
    </row>
    <row r="79" spans="3:3" x14ac:dyDescent="0.25">
      <c r="C79" s="44" t="s">
        <v>222</v>
      </c>
    </row>
    <row r="80" spans="3:3" x14ac:dyDescent="0.25">
      <c r="C80" s="44" t="s">
        <v>223</v>
      </c>
    </row>
    <row r="83" spans="3:3" ht="15.75" x14ac:dyDescent="0.25">
      <c r="C83" s="68" t="s">
        <v>238</v>
      </c>
    </row>
    <row r="84" spans="3:3" ht="15.75" x14ac:dyDescent="0.25">
      <c r="C84" s="68" t="s">
        <v>237</v>
      </c>
    </row>
    <row r="86" spans="3:3" x14ac:dyDescent="0.25">
      <c r="C86" s="44" t="s">
        <v>239</v>
      </c>
    </row>
    <row r="87" spans="3:3" x14ac:dyDescent="0.25">
      <c r="C87" s="44" t="s">
        <v>240</v>
      </c>
    </row>
  </sheetData>
  <mergeCells count="3">
    <mergeCell ref="C12:L13"/>
    <mergeCell ref="C19:V20"/>
    <mergeCell ref="C2:J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tabColor rgb="FF92D050"/>
  </sheetPr>
  <dimension ref="A2:H97"/>
  <sheetViews>
    <sheetView workbookViewId="0">
      <selection activeCell="E27" sqref="E27"/>
    </sheetView>
  </sheetViews>
  <sheetFormatPr defaultRowHeight="15" x14ac:dyDescent="0.25"/>
  <cols>
    <col min="1" max="1" width="55" customWidth="1"/>
    <col min="2" max="2" width="12.5703125" customWidth="1"/>
    <col min="3" max="3" width="83.140625" style="12" customWidth="1"/>
    <col min="4" max="4" width="49.140625" style="4" customWidth="1"/>
    <col min="5" max="5" width="11.42578125" customWidth="1"/>
    <col min="6" max="6" width="20" customWidth="1"/>
    <col min="7" max="7" width="16" customWidth="1"/>
    <col min="8" max="8" width="37.42578125" customWidth="1"/>
  </cols>
  <sheetData>
    <row r="2" spans="1:7" x14ac:dyDescent="0.25">
      <c r="A2" s="1" t="s">
        <v>80</v>
      </c>
      <c r="C2" s="12" t="s">
        <v>24</v>
      </c>
      <c r="D2" s="43">
        <v>2022</v>
      </c>
    </row>
    <row r="3" spans="1:7" x14ac:dyDescent="0.25">
      <c r="A3" t="s">
        <v>81</v>
      </c>
      <c r="C3" s="12" t="s">
        <v>191</v>
      </c>
      <c r="D3" s="58" t="s">
        <v>187</v>
      </c>
      <c r="E3" s="57" t="s">
        <v>220</v>
      </c>
    </row>
    <row r="4" spans="1:7" x14ac:dyDescent="0.25">
      <c r="C4" s="12" t="s">
        <v>75</v>
      </c>
      <c r="D4" s="10">
        <f>E83</f>
        <v>66.196254578438158</v>
      </c>
    </row>
    <row r="6" spans="1:7" x14ac:dyDescent="0.25">
      <c r="A6" t="s">
        <v>7</v>
      </c>
      <c r="C6" s="12" t="s">
        <v>25</v>
      </c>
      <c r="D6" s="4" t="s">
        <v>21</v>
      </c>
      <c r="F6" t="s">
        <v>20</v>
      </c>
      <c r="G6" t="s">
        <v>42</v>
      </c>
    </row>
    <row r="7" spans="1:7" x14ac:dyDescent="0.25">
      <c r="A7" s="79" t="s">
        <v>9</v>
      </c>
      <c r="B7" s="49" t="s">
        <v>0</v>
      </c>
      <c r="C7" s="13" t="s">
        <v>1</v>
      </c>
      <c r="D7" s="5"/>
      <c r="E7" s="1">
        <f>IF(E8&gt;=100,1,IF(E8&lt;=40,0,(E8-40)/60))*F7</f>
        <v>14.26</v>
      </c>
      <c r="F7" s="2">
        <v>23</v>
      </c>
      <c r="G7" s="7">
        <f>E7/F7</f>
        <v>0.62</v>
      </c>
    </row>
    <row r="8" spans="1:7" x14ac:dyDescent="0.25">
      <c r="A8" s="79"/>
      <c r="B8" s="50"/>
      <c r="C8" s="12" t="s">
        <v>4</v>
      </c>
      <c r="D8" s="4">
        <f>$D$2-2</f>
        <v>2020</v>
      </c>
      <c r="E8" s="22">
        <v>77.2</v>
      </c>
      <c r="G8" s="7"/>
    </row>
    <row r="9" spans="1:7" x14ac:dyDescent="0.25">
      <c r="A9" s="81" t="s">
        <v>10</v>
      </c>
      <c r="B9" s="47" t="s">
        <v>3</v>
      </c>
      <c r="C9" s="13" t="s">
        <v>2</v>
      </c>
      <c r="D9" s="5"/>
      <c r="E9" s="1">
        <f>IFERROR(IF(E10/E11*100&gt;=100,1,IF(E10/E11*100&lt;=80,0,((E10/E11*100)-80)/20))*F9," ")</f>
        <v>3</v>
      </c>
      <c r="F9" s="46">
        <v>3</v>
      </c>
      <c r="G9" s="7">
        <f t="shared" ref="G9:G38" si="0">E9/F9</f>
        <v>1</v>
      </c>
    </row>
    <row r="10" spans="1:7" x14ac:dyDescent="0.25">
      <c r="A10" s="81"/>
      <c r="B10" s="48"/>
      <c r="C10" s="12" t="s">
        <v>23</v>
      </c>
      <c r="D10" s="4" t="str">
        <f>$D$2-2&amp;" "&amp;$D$2-3&amp;" "&amp;$D$2-4</f>
        <v>2020 2019 2018</v>
      </c>
      <c r="E10" s="22">
        <v>683</v>
      </c>
      <c r="G10" s="7"/>
    </row>
    <row r="11" spans="1:7" x14ac:dyDescent="0.25">
      <c r="A11" s="81"/>
      <c r="B11" s="48"/>
      <c r="C11" s="12" t="s">
        <v>22</v>
      </c>
      <c r="D11" s="4" t="str">
        <f>$D$2-2&amp;" "&amp;$D$2-3&amp;" "&amp;$D$2-4</f>
        <v>2020 2019 2018</v>
      </c>
      <c r="E11" s="22">
        <v>683</v>
      </c>
      <c r="G11" s="7"/>
    </row>
    <row r="12" spans="1:7" x14ac:dyDescent="0.25">
      <c r="A12" s="79" t="s">
        <v>8</v>
      </c>
      <c r="B12" s="49" t="s">
        <v>6</v>
      </c>
      <c r="C12" s="13" t="s">
        <v>5</v>
      </c>
      <c r="D12" s="5"/>
      <c r="E12" s="1">
        <f>IF(E14/E13&gt;=0.5,1,IF(E14/E13&lt;=0,0,(E14/E13/0.5)))*F12</f>
        <v>0.33846153846153848</v>
      </c>
      <c r="F12" s="46">
        <v>4</v>
      </c>
      <c r="G12" s="7">
        <f t="shared" si="0"/>
        <v>8.461538461538462E-2</v>
      </c>
    </row>
    <row r="13" spans="1:7" x14ac:dyDescent="0.25">
      <c r="A13" s="79"/>
      <c r="B13" s="50"/>
      <c r="C13" s="12" t="s">
        <v>11</v>
      </c>
      <c r="D13" s="4">
        <f>$D$2-2</f>
        <v>2020</v>
      </c>
      <c r="E13" s="22">
        <v>260</v>
      </c>
      <c r="G13" s="7"/>
    </row>
    <row r="14" spans="1:7" x14ac:dyDescent="0.25">
      <c r="A14" s="79"/>
      <c r="B14" s="50"/>
      <c r="C14" s="12" t="s">
        <v>12</v>
      </c>
      <c r="D14" s="4">
        <f>$D$2-2</f>
        <v>2020</v>
      </c>
      <c r="E14" s="22">
        <v>11</v>
      </c>
      <c r="G14" s="7"/>
    </row>
    <row r="15" spans="1:7" x14ac:dyDescent="0.25">
      <c r="A15" s="81" t="s">
        <v>17</v>
      </c>
      <c r="B15" s="47" t="s">
        <v>13</v>
      </c>
      <c r="C15" s="13" t="s">
        <v>14</v>
      </c>
      <c r="D15" s="5"/>
      <c r="E15" s="1">
        <f>IF(E16/E17&gt;=1,1,IF(E16/E17&lt;=0,0,(E16/E17)))*F15</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1</v>
      </c>
      <c r="G17" s="7"/>
    </row>
    <row r="18" spans="1:7" x14ac:dyDescent="0.25">
      <c r="A18" s="79" t="s">
        <v>217</v>
      </c>
      <c r="B18" s="49" t="s">
        <v>19</v>
      </c>
      <c r="C18" s="13" t="s">
        <v>18</v>
      </c>
      <c r="D18" s="5"/>
      <c r="E18" s="1">
        <f>IF(IF(E19+E22*0.25+E25*0.1&lt;=0,0,(((E20+0.25*E23+0.1*E26)+3*(E21+0.25*E24+0.1*E27))/(E19+E22*0.25+E25*0.1)))&gt;=0.25,1,IF(IF(E19+E22*0.25+E25*0.1&lt;=0,1,(((E20+0.25*E23+0.1*E26)+3*(E21+0.25*E24+0.1*E27))/(E19+E22*0.25+E25*0.1)))&lt;=0,0,IF(E19+E22*0.25+E25*0.1&lt;=0,1,(((E20+0.25*E23+0.1*E26)+3*(E21+0.25*E24+0.1*E27))/(E19+E22*0.25+E25*0.1))/0.25)))*F18</f>
        <v>6.839140811455847</v>
      </c>
      <c r="F18" s="11">
        <f>IF(OR(D3=Главная!AA14,D3=Главная!AA15,D3=Главная!AA17,D3=Главная!AA18,D3=Главная!AA21),6,9)</f>
        <v>9</v>
      </c>
      <c r="G18" s="7">
        <f t="shared" si="0"/>
        <v>0.75990453460620522</v>
      </c>
    </row>
    <row r="19" spans="1:7" x14ac:dyDescent="0.25">
      <c r="A19" s="79"/>
      <c r="B19" s="50"/>
      <c r="C19" s="12" t="s">
        <v>26</v>
      </c>
      <c r="D19" s="4">
        <f t="shared" ref="D19:D41" si="1">$D$2-2</f>
        <v>2020</v>
      </c>
      <c r="E19" s="22">
        <v>419</v>
      </c>
      <c r="G19" s="7"/>
    </row>
    <row r="20" spans="1:7" x14ac:dyDescent="0.25">
      <c r="A20" s="79"/>
      <c r="B20" s="50"/>
      <c r="C20" s="12" t="s">
        <v>27</v>
      </c>
      <c r="D20" s="4">
        <f t="shared" si="1"/>
        <v>2020</v>
      </c>
      <c r="E20" s="22">
        <v>34</v>
      </c>
      <c r="G20" s="7"/>
    </row>
    <row r="21" spans="1:7" x14ac:dyDescent="0.25">
      <c r="A21" s="79"/>
      <c r="B21" s="50"/>
      <c r="C21" s="12" t="s">
        <v>28</v>
      </c>
      <c r="D21" s="4">
        <f t="shared" si="1"/>
        <v>2020</v>
      </c>
      <c r="E21" s="22">
        <v>14</v>
      </c>
      <c r="G21" s="7"/>
    </row>
    <row r="22" spans="1:7" x14ac:dyDescent="0.25">
      <c r="A22" s="79"/>
      <c r="B22" s="50"/>
      <c r="C22" s="12" t="s">
        <v>29</v>
      </c>
      <c r="D22" s="4">
        <f t="shared" si="1"/>
        <v>2020</v>
      </c>
      <c r="E22" s="22">
        <v>0</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0</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12</v>
      </c>
      <c r="G27" s="7"/>
    </row>
    <row r="28" spans="1:7" x14ac:dyDescent="0.25">
      <c r="A28" s="77" t="s">
        <v>143</v>
      </c>
      <c r="B28" s="47" t="s">
        <v>85</v>
      </c>
      <c r="C28" s="13" t="s">
        <v>84</v>
      </c>
      <c r="E28" s="11" t="str">
        <f>IFERROR(IF(IF(AND(E35+0.25*E36+0.1*E37=0,0.25*(E29+0.25*E30+0.1*E31)+(E32+0.25*E33+0.1*E34)&gt;0),1,(0.25*(E29+0.25*E30+0.1*E31)+(E32+0.25*E33+0.1*E34))/(E35+0.25*E36+0.1*E37))&gt;=0.2,1,IF(IF(E35+0.25*E36+0.1*E37=0,1,(0.25*(E29+0.25*E30+0.1*E31)+(E32+0.25*E33+0.1*E34))/(E35+0.25*E36+0.1*E37))&lt;=0,0,IF(E35+0.25*E36+0.1*E37=0,1,(0.25*(E29+0.25*E30+0.1*E31)+(E32+0.25*E33+0.1*E34))/(E35+0.25*E36+0.1*E37)/0.2)))*F28," ")</f>
        <v xml:space="preserve"> </v>
      </c>
      <c r="F28" s="1">
        <f>IF(OR(D3=Главная!AA14,D3=Главная!AA15,D3=Главная!AA17,D3=Главная!AA18,D3=Главная!AA21),6,0)</f>
        <v>0</v>
      </c>
      <c r="G28" s="7" t="e">
        <f t="shared" si="0"/>
        <v>#VALUE!</v>
      </c>
    </row>
    <row r="29" spans="1:7" x14ac:dyDescent="0.25">
      <c r="A29" s="77"/>
      <c r="B29" s="48"/>
      <c r="C29" s="12" t="s">
        <v>86</v>
      </c>
      <c r="D29" s="14">
        <f>$D$2-3</f>
        <v>2019</v>
      </c>
      <c r="E29" s="22"/>
      <c r="G29" s="7"/>
    </row>
    <row r="30" spans="1:7" x14ac:dyDescent="0.25">
      <c r="A30" s="77"/>
      <c r="B30" s="48"/>
      <c r="C30" s="12" t="s">
        <v>87</v>
      </c>
      <c r="D30" s="14">
        <f t="shared" ref="D30:D34" si="2">$D$2-3</f>
        <v>2019</v>
      </c>
      <c r="E30" s="22"/>
      <c r="G30" s="7"/>
    </row>
    <row r="31" spans="1:7" x14ac:dyDescent="0.25">
      <c r="A31" s="77"/>
      <c r="B31" s="48"/>
      <c r="C31" s="12" t="s">
        <v>88</v>
      </c>
      <c r="D31" s="14">
        <f t="shared" si="2"/>
        <v>2019</v>
      </c>
      <c r="E31" s="22"/>
      <c r="G31" s="7"/>
    </row>
    <row r="32" spans="1:7" ht="39.75" customHeight="1" x14ac:dyDescent="0.25">
      <c r="A32" s="77"/>
      <c r="B32" s="48"/>
      <c r="C32" s="12" t="s">
        <v>89</v>
      </c>
      <c r="D32" s="14">
        <f t="shared" si="2"/>
        <v>2019</v>
      </c>
      <c r="E32" s="22"/>
      <c r="G32" s="7"/>
    </row>
    <row r="33" spans="1:7" x14ac:dyDescent="0.25">
      <c r="A33" s="77" t="s">
        <v>142</v>
      </c>
      <c r="B33" s="48"/>
      <c r="C33" s="12" t="s">
        <v>90</v>
      </c>
      <c r="D33" s="14">
        <f t="shared" si="2"/>
        <v>2019</v>
      </c>
      <c r="E33" s="22"/>
      <c r="G33" s="7"/>
    </row>
    <row r="34" spans="1:7" x14ac:dyDescent="0.25">
      <c r="A34" s="77"/>
      <c r="B34" s="48"/>
      <c r="C34" s="12" t="s">
        <v>91</v>
      </c>
      <c r="D34" s="14">
        <f t="shared" si="2"/>
        <v>2019</v>
      </c>
      <c r="E34" s="22"/>
      <c r="G34" s="7"/>
    </row>
    <row r="35" spans="1:7" x14ac:dyDescent="0.25">
      <c r="A35" s="77"/>
      <c r="B35" s="48"/>
      <c r="C35" s="12" t="s">
        <v>92</v>
      </c>
      <c r="D35" s="4">
        <f t="shared" ref="D35:D37" si="3">$D$2-2</f>
        <v>2020</v>
      </c>
      <c r="E35" s="22"/>
      <c r="G35" s="7"/>
    </row>
    <row r="36" spans="1:7" x14ac:dyDescent="0.25">
      <c r="A36" s="77"/>
      <c r="B36" s="48"/>
      <c r="C36" s="12" t="s">
        <v>93</v>
      </c>
      <c r="D36" s="4">
        <f t="shared" si="3"/>
        <v>2020</v>
      </c>
      <c r="E36" s="22"/>
      <c r="G36" s="7"/>
    </row>
    <row r="37" spans="1:7" x14ac:dyDescent="0.25">
      <c r="A37" s="77"/>
      <c r="B37" s="48"/>
      <c r="C37" s="12" t="s">
        <v>94</v>
      </c>
      <c r="D37" s="4">
        <f t="shared" si="3"/>
        <v>2020</v>
      </c>
      <c r="E37" s="22"/>
      <c r="G37" s="7"/>
    </row>
    <row r="38" spans="1:7" x14ac:dyDescent="0.25">
      <c r="A38" s="78" t="s">
        <v>41</v>
      </c>
      <c r="B38" s="49" t="s">
        <v>36</v>
      </c>
      <c r="C38" s="13" t="s">
        <v>37</v>
      </c>
      <c r="D38" s="5"/>
      <c r="E38" s="1">
        <f>IF(((E39+E40*0.25+E41*0.1)/(E19+E22*0.25+E25*0.1))&gt;=0.5,1,IF((E39+E40*0.25+E41*0.1)/(E19+E22*0.25+E25*0.1)&lt;=0,0,((E39+E40*0.25+E41*0.1)/(E19+E22*0.25+E25*0.1)/0.5)))*F38</f>
        <v>0.38663484486873506</v>
      </c>
      <c r="F38" s="11">
        <f>IF(OR(D3=Главная!AA14,D3=Главная!AA15,D3=Главная!AA17,D3=Главная!AA18,D3=Главная!AA21),6,9)</f>
        <v>9</v>
      </c>
      <c r="G38" s="7">
        <f t="shared" si="0"/>
        <v>4.2959427207637228E-2</v>
      </c>
    </row>
    <row r="39" spans="1:7" x14ac:dyDescent="0.25">
      <c r="A39" s="78"/>
      <c r="B39" s="50"/>
      <c r="C39" s="12" t="s">
        <v>38</v>
      </c>
      <c r="D39" s="4">
        <f t="shared" si="1"/>
        <v>2020</v>
      </c>
      <c r="E39" s="22">
        <v>9</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0</v>
      </c>
      <c r="G41" s="7"/>
    </row>
    <row r="42" spans="1:7" ht="15" customHeight="1" x14ac:dyDescent="0.25">
      <c r="A42" s="77" t="s">
        <v>145</v>
      </c>
      <c r="B42" s="76" t="s">
        <v>44</v>
      </c>
      <c r="C42" s="13" t="s">
        <v>43</v>
      </c>
      <c r="D42" s="5"/>
      <c r="E42" s="1" t="str">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f>
        <v/>
      </c>
      <c r="F42" s="2">
        <v>25</v>
      </c>
      <c r="G42" s="7" t="e">
        <f>E42/F42</f>
        <v>#VALUE!</v>
      </c>
    </row>
    <row r="43" spans="1:7" x14ac:dyDescent="0.25">
      <c r="A43" s="77"/>
      <c r="B43" s="76" t="s">
        <v>218</v>
      </c>
      <c r="C43" s="12" t="s">
        <v>46</v>
      </c>
      <c r="D43" s="4" t="str">
        <f>$D$2-4&amp;" "&amp;$D$2-5&amp;" "&amp;$D$2-6</f>
        <v>2018 2017 2016</v>
      </c>
      <c r="E43" s="22"/>
    </row>
    <row r="44" spans="1:7" x14ac:dyDescent="0.25">
      <c r="A44" s="77"/>
      <c r="B44" s="76"/>
      <c r="C44" s="12" t="s">
        <v>45</v>
      </c>
      <c r="D44" s="4" t="str">
        <f>$D$2-3&amp;" "&amp;$D$2-4&amp;" "&amp;$D$2-5</f>
        <v>2019 2018 2017</v>
      </c>
      <c r="E44" s="22"/>
    </row>
    <row r="45" spans="1:7" x14ac:dyDescent="0.25">
      <c r="A45" s="79" t="s">
        <v>219</v>
      </c>
      <c r="B45" s="49" t="s">
        <v>48</v>
      </c>
      <c r="C45" s="13" t="s">
        <v>47</v>
      </c>
      <c r="D45" s="5"/>
      <c r="E45" s="1">
        <f>IFERROR(IF(E47/E46*100&lt;=30,0,IF(E47/E46*100&gt;=60,1,(E47/E46*100-30)/30))*F45," ")</f>
        <v>5</v>
      </c>
      <c r="F45" s="46">
        <v>5</v>
      </c>
      <c r="G45" s="7">
        <f t="shared" ref="G45" si="4">E45/F45</f>
        <v>1</v>
      </c>
    </row>
    <row r="46" spans="1:7" x14ac:dyDescent="0.25">
      <c r="A46" s="79"/>
      <c r="B46" s="50"/>
      <c r="C46" s="12" t="s">
        <v>49</v>
      </c>
      <c r="D46" s="8">
        <f>$D$2-5</f>
        <v>2017</v>
      </c>
      <c r="E46" s="22">
        <v>94</v>
      </c>
    </row>
    <row r="47" spans="1:7" x14ac:dyDescent="0.25">
      <c r="A47" s="80"/>
      <c r="B47" s="50"/>
      <c r="C47" s="12" t="s">
        <v>50</v>
      </c>
      <c r="D47" s="4">
        <f t="shared" ref="D47" si="5">$D$2-2</f>
        <v>2020</v>
      </c>
      <c r="E47" s="29">
        <v>69</v>
      </c>
    </row>
    <row r="48" spans="1:7" s="56" customFormat="1" ht="15" customHeight="1" x14ac:dyDescent="0.25">
      <c r="A48" s="71" t="s">
        <v>224</v>
      </c>
      <c r="B48" s="72"/>
      <c r="C48" s="72"/>
      <c r="D48" s="72"/>
      <c r="E48" s="72"/>
      <c r="F48" s="72"/>
      <c r="G48" s="73"/>
    </row>
    <row r="49" spans="1:8" ht="15" customHeight="1" x14ac:dyDescent="0.25">
      <c r="A49" s="74" t="s">
        <v>59</v>
      </c>
      <c r="B49" s="59" t="s">
        <v>52</v>
      </c>
      <c r="C49" s="30" t="s">
        <v>53</v>
      </c>
      <c r="D49" s="31"/>
      <c r="E49" s="32">
        <f>IFERROR(IF((E56/(E50+E53)+E57/(E51+E54)+E58/(E52+E55))/3*100&lt;=5,0,IF((E56/(E50+E53)+E57/(E51+E54)+E58/(E52+E55))/3*100&gt;=100,1,((E56/(E50+E53)+E57/(E51+E54)+E58/(E52+E55))/3*100-5)/95))*F49,"")</f>
        <v>0</v>
      </c>
      <c r="F49" s="32">
        <f>IF(OR(Главная!AA13=D3,Главная!AA14=D3,Главная!AA15=D3,Главная!AA16=D3,Главная!AA23=D3),5,0)</f>
        <v>0</v>
      </c>
      <c r="G49" s="33" t="e">
        <f t="shared" ref="G49" si="6">E49/F49</f>
        <v>#DIV/0!</v>
      </c>
      <c r="H49" s="34"/>
    </row>
    <row r="50" spans="1:8" x14ac:dyDescent="0.25">
      <c r="A50" s="75"/>
      <c r="B50" s="55"/>
      <c r="C50" s="12" t="s">
        <v>54</v>
      </c>
      <c r="D50" s="8">
        <f>$D$2-5</f>
        <v>2017</v>
      </c>
      <c r="E50" s="22">
        <v>1051.2</v>
      </c>
    </row>
    <row r="51" spans="1:8" x14ac:dyDescent="0.25">
      <c r="A51" s="75"/>
      <c r="B51" s="55"/>
      <c r="C51" s="12" t="s">
        <v>54</v>
      </c>
      <c r="D51" s="8">
        <f>$D$2-4</f>
        <v>2018</v>
      </c>
      <c r="E51" s="22">
        <v>1047.5</v>
      </c>
    </row>
    <row r="52" spans="1:8" x14ac:dyDescent="0.25">
      <c r="A52" s="75"/>
      <c r="B52" s="55"/>
      <c r="C52" s="12" t="s">
        <v>54</v>
      </c>
      <c r="D52" s="8">
        <f>$D$2-3</f>
        <v>2019</v>
      </c>
      <c r="E52" s="22">
        <v>1059.5</v>
      </c>
    </row>
    <row r="53" spans="1:8" x14ac:dyDescent="0.25">
      <c r="A53" s="75"/>
      <c r="B53" s="55"/>
      <c r="C53" s="12" t="s">
        <v>55</v>
      </c>
      <c r="D53" s="8">
        <f>$D$2-5</f>
        <v>2017</v>
      </c>
      <c r="E53" s="22">
        <v>56.2</v>
      </c>
    </row>
    <row r="54" spans="1:8" x14ac:dyDescent="0.25">
      <c r="A54" s="75"/>
      <c r="B54" s="55"/>
      <c r="C54" s="12" t="s">
        <v>55</v>
      </c>
      <c r="D54" s="8">
        <f>$D$2-4</f>
        <v>2018</v>
      </c>
      <c r="E54" s="22">
        <v>54.6</v>
      </c>
    </row>
    <row r="55" spans="1:8" x14ac:dyDescent="0.25">
      <c r="A55" s="75"/>
      <c r="B55" s="55"/>
      <c r="C55" s="12" t="s">
        <v>55</v>
      </c>
      <c r="D55" s="8">
        <f>$D$2-3</f>
        <v>2019</v>
      </c>
      <c r="E55" s="22">
        <v>56.5</v>
      </c>
    </row>
    <row r="56" spans="1:8" x14ac:dyDescent="0.25">
      <c r="A56" s="75"/>
      <c r="B56" s="55"/>
      <c r="C56" s="12" t="s">
        <v>56</v>
      </c>
      <c r="D56" s="8">
        <f>$D$2-5</f>
        <v>2017</v>
      </c>
      <c r="E56" s="22">
        <v>380</v>
      </c>
    </row>
    <row r="57" spans="1:8" x14ac:dyDescent="0.25">
      <c r="A57" s="75"/>
      <c r="B57" s="55"/>
      <c r="C57" s="12" t="s">
        <v>56</v>
      </c>
      <c r="D57" s="8">
        <f>$D$2-4</f>
        <v>2018</v>
      </c>
      <c r="E57" s="22">
        <v>830</v>
      </c>
      <c r="F57" s="9"/>
    </row>
    <row r="58" spans="1:8" x14ac:dyDescent="0.25">
      <c r="A58" s="75"/>
      <c r="B58" s="55"/>
      <c r="C58" s="12" t="s">
        <v>56</v>
      </c>
      <c r="D58" s="8">
        <f>$D$2-3</f>
        <v>2019</v>
      </c>
      <c r="E58" s="22">
        <v>1149</v>
      </c>
      <c r="F58" s="9"/>
    </row>
    <row r="59" spans="1:8" x14ac:dyDescent="0.25">
      <c r="A59" s="82" t="s">
        <v>79</v>
      </c>
      <c r="B59" s="51" t="s">
        <v>58</v>
      </c>
      <c r="C59" s="13" t="s">
        <v>57</v>
      </c>
      <c r="D59" s="5"/>
      <c r="E59" s="1">
        <f>IFERROR(IF((E60/(E50+E53)+E61/(E51+E54)+E62/(E52+E55))/3&lt;=100,0,IF((E60/(E50+E53)+E61/(E51+E54)+E62/(E52+E55))/3&gt;=1000,1,((E60/(E50+E53)+E61/(E51+E54)+E62/(E52+E55))/3-100)/900))*F59," ")</f>
        <v>2.1844546738229971</v>
      </c>
      <c r="F59" s="11">
        <f>IF(OR(Главная!AA17=D3,Главная!AA20=D3),7,IF(OR(Главная!AA13=D3,Главная!AA14=D3,Главная!AA15=D3,Главная!AA16=D3,Главная!AA23=D3),5,0))</f>
        <v>7</v>
      </c>
      <c r="G59" s="7">
        <f t="shared" ref="G59" si="7">E59/F59</f>
        <v>0.31206495340328527</v>
      </c>
    </row>
    <row r="60" spans="1:8" x14ac:dyDescent="0.25">
      <c r="A60" s="82"/>
      <c r="B60" s="52"/>
      <c r="C60" s="12" t="s">
        <v>82</v>
      </c>
      <c r="D60" s="8">
        <f>$D$2-5</f>
        <v>2017</v>
      </c>
      <c r="E60" s="22">
        <v>265431.7</v>
      </c>
      <c r="F60" s="9"/>
    </row>
    <row r="61" spans="1:8" x14ac:dyDescent="0.25">
      <c r="A61" s="82"/>
      <c r="B61" s="52"/>
      <c r="C61" s="12" t="s">
        <v>82</v>
      </c>
      <c r="D61" s="8">
        <f>$D$2-4</f>
        <v>2018</v>
      </c>
      <c r="E61" s="22">
        <v>382808.6</v>
      </c>
      <c r="F61" s="9"/>
    </row>
    <row r="62" spans="1:8" x14ac:dyDescent="0.25">
      <c r="A62" s="82"/>
      <c r="B62" s="52"/>
      <c r="C62" s="12" t="s">
        <v>82</v>
      </c>
      <c r="D62" s="8">
        <f>$D$2-3</f>
        <v>2019</v>
      </c>
      <c r="E62" s="22">
        <v>619984.4</v>
      </c>
      <c r="F62" s="9"/>
    </row>
    <row r="63" spans="1:8" x14ac:dyDescent="0.25">
      <c r="A63" s="83" t="s">
        <v>78</v>
      </c>
      <c r="B63" s="2" t="s">
        <v>61</v>
      </c>
      <c r="C63" s="13" t="s">
        <v>60</v>
      </c>
      <c r="D63" s="5"/>
      <c r="E63" s="1">
        <f>IF((E67+0.25*E68+0.1*E69)/(E64+E65*0.25+E66*0.1)*100&gt;=15,1,IF((E67+0.25*E68+0.1*E69)/(E64+E65*0.25+E66*0.1)*100&lt;=1,0,((E67+0.25*E68+0.1*E69)/(E64+E65*0.25+E66*0.1)*100-1)/14))*F63</f>
        <v>2.4528879968620299</v>
      </c>
      <c r="F63" s="11">
        <f>IF(OR(Главная!AA17=D3,Главная!AA20=D3,Главная!AA18=D3),6,IF(OR(Главная!AA13=D3,Главная!AA14=D3,Главная!AA15=D3,Главная!AA16=D3,Главная!AA23=D3),5,10))</f>
        <v>6</v>
      </c>
      <c r="G63" s="7">
        <f t="shared" ref="G63:G93" si="8">E63/F63</f>
        <v>0.40881466614367162</v>
      </c>
    </row>
    <row r="64" spans="1:8"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6.7346747129670161</v>
      </c>
      <c r="F70" s="11">
        <f>IF(OR(Главная!AA17=D3,Главная!AA20=D3,Главная!AA18=D3),7,IF(OR(Главная!AA13=D3,Главная!AA14=D3,Главная!AA15=D3,Главная!AA16=D3,Главная!AA23=D3),5,10))</f>
        <v>7</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SUM(E7,E9,E12,E15,E18,E38,E42,E45,E49,E59,E63,E70,E28,E89:E93)*(IF(1+0.5*((E84+E85*0.25+E86*0.1)/(E19+E22*0.25+E25*0.1)-0.2)/0.8&lt;1,1,1+0.5*((E84+E85*0.25+E86*0.1)/(E19+E22*0.25+E25*0.1)-0.2)/0.8))</f>
        <v>66.196254578438158</v>
      </c>
      <c r="F83">
        <v>100</v>
      </c>
      <c r="G83" s="7">
        <f t="shared" si="8"/>
        <v>0.66196254578438163</v>
      </c>
    </row>
    <row r="84" spans="1:7" x14ac:dyDescent="0.25">
      <c r="A84" s="85"/>
      <c r="B84" s="54"/>
      <c r="C84" s="12" t="s">
        <v>72</v>
      </c>
      <c r="D84" s="4">
        <f t="shared" ref="D84:D86" si="10">$D$2-2</f>
        <v>2020</v>
      </c>
      <c r="E84" s="22">
        <v>9</v>
      </c>
      <c r="G84" s="7"/>
    </row>
    <row r="85" spans="1:7" x14ac:dyDescent="0.25">
      <c r="A85" s="85"/>
      <c r="B85" s="54"/>
      <c r="C85" s="12" t="s">
        <v>73</v>
      </c>
      <c r="D85" s="4">
        <f t="shared" si="10"/>
        <v>2020</v>
      </c>
      <c r="E85" s="22">
        <v>0</v>
      </c>
      <c r="G85" s="7"/>
    </row>
    <row r="86" spans="1:7" x14ac:dyDescent="0.25">
      <c r="A86" s="85"/>
      <c r="B86" s="54"/>
      <c r="C86" s="12" t="s">
        <v>74</v>
      </c>
      <c r="D86" s="4">
        <f t="shared" si="10"/>
        <v>2020</v>
      </c>
      <c r="E86" s="22">
        <v>0</v>
      </c>
      <c r="G86" s="7"/>
    </row>
    <row r="87" spans="1:7" x14ac:dyDescent="0.25">
      <c r="G87" s="7"/>
    </row>
    <row r="88" spans="1:7" x14ac:dyDescent="0.25">
      <c r="A88" s="9"/>
      <c r="B88" s="11" t="s">
        <v>96</v>
      </c>
      <c r="C88" s="86" t="s">
        <v>97</v>
      </c>
      <c r="D88" s="86"/>
      <c r="E88" s="86"/>
      <c r="F88" s="11"/>
      <c r="G88" s="7"/>
    </row>
    <row r="89" spans="1:7" x14ac:dyDescent="0.25">
      <c r="A89" s="9"/>
      <c r="B89" s="9"/>
      <c r="C89" s="64" t="s">
        <v>43</v>
      </c>
      <c r="D89" s="27"/>
      <c r="E89" s="24">
        <v>25</v>
      </c>
      <c r="F89" s="23">
        <v>25</v>
      </c>
      <c r="G89" s="7">
        <f t="shared" si="8"/>
        <v>1</v>
      </c>
    </row>
    <row r="90" spans="1:7" x14ac:dyDescent="0.25">
      <c r="A90" s="9"/>
      <c r="B90" s="9"/>
      <c r="C90" s="28"/>
      <c r="D90" s="27"/>
      <c r="E90" s="25"/>
      <c r="F90" s="23"/>
      <c r="G90" s="7" t="e">
        <f t="shared" si="8"/>
        <v>#DIV/0!</v>
      </c>
    </row>
    <row r="91" spans="1:7" x14ac:dyDescent="0.25">
      <c r="A91" s="9"/>
      <c r="B91" s="9"/>
      <c r="C91" s="28"/>
      <c r="D91" s="27"/>
      <c r="E91" s="25"/>
      <c r="F91" s="23"/>
      <c r="G91" s="7" t="e">
        <f t="shared" si="8"/>
        <v>#DIV/0!</v>
      </c>
    </row>
    <row r="92" spans="1:7" x14ac:dyDescent="0.25">
      <c r="A92" s="9"/>
      <c r="B92" s="9"/>
      <c r="C92" s="28"/>
      <c r="D92" s="27"/>
      <c r="E92" s="25"/>
      <c r="F92" s="23"/>
      <c r="G92" s="7" t="e">
        <f t="shared" si="8"/>
        <v>#DIV/0!</v>
      </c>
    </row>
    <row r="93" spans="1:7" x14ac:dyDescent="0.25">
      <c r="A93" s="9"/>
      <c r="B93" s="9"/>
      <c r="C93" s="28"/>
      <c r="D93" s="27"/>
      <c r="E93" s="25"/>
      <c r="F93" s="23"/>
      <c r="G93" s="7" t="e">
        <f t="shared" si="8"/>
        <v>#DIV/0!</v>
      </c>
    </row>
    <row r="94" spans="1:7" x14ac:dyDescent="0.25">
      <c r="A94" s="9"/>
      <c r="B94" s="9"/>
      <c r="C94" s="16"/>
      <c r="D94" s="17"/>
      <c r="E94" s="9"/>
      <c r="F94" s="9"/>
      <c r="G94" s="9"/>
    </row>
    <row r="95" spans="1:7" x14ac:dyDescent="0.25">
      <c r="B95" s="9"/>
      <c r="C95" s="16"/>
      <c r="D95" s="15"/>
      <c r="E95" s="9"/>
      <c r="F95" s="9"/>
      <c r="G95" s="9"/>
    </row>
    <row r="96" spans="1:7" x14ac:dyDescent="0.25">
      <c r="B96" s="9"/>
      <c r="C96" s="16"/>
      <c r="D96" s="15"/>
      <c r="E96" s="9"/>
      <c r="F96" s="9"/>
      <c r="G96" s="9"/>
    </row>
    <row r="97" spans="2:7" x14ac:dyDescent="0.25">
      <c r="B97" s="9"/>
      <c r="C97" s="16"/>
      <c r="D97" s="15"/>
      <c r="E97" s="9"/>
      <c r="F97" s="9"/>
      <c r="G97" s="9"/>
    </row>
  </sheetData>
  <mergeCells count="18">
    <mergeCell ref="C88:E88"/>
    <mergeCell ref="A33:A37"/>
    <mergeCell ref="A38:A41"/>
    <mergeCell ref="A42:A44"/>
    <mergeCell ref="B42:B44"/>
    <mergeCell ref="A45:A47"/>
    <mergeCell ref="A48:G48"/>
    <mergeCell ref="A49:A58"/>
    <mergeCell ref="A59:A62"/>
    <mergeCell ref="A63:A69"/>
    <mergeCell ref="A70:A82"/>
    <mergeCell ref="A83:A86"/>
    <mergeCell ref="A28:A32"/>
    <mergeCell ref="A7:A8"/>
    <mergeCell ref="A9:A11"/>
    <mergeCell ref="A12:A14"/>
    <mergeCell ref="A15:A17"/>
    <mergeCell ref="A18:A27"/>
  </mergeCells>
  <conditionalFormatting sqref="G1:G47 G49:G1048576">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Главная!$AA$13:$AA$23</xm:f>
          </x14:formula1>
          <xm:sqref>D3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tabColor rgb="FF00B050"/>
  </sheetPr>
  <dimension ref="A2:H97"/>
  <sheetViews>
    <sheetView workbookViewId="0">
      <selection activeCell="E15" sqref="E15"/>
    </sheetView>
  </sheetViews>
  <sheetFormatPr defaultRowHeight="15" x14ac:dyDescent="0.25"/>
  <cols>
    <col min="1" max="1" width="55" customWidth="1"/>
    <col min="2" max="2" width="12.5703125" customWidth="1"/>
    <col min="3" max="3" width="83.140625" style="12" customWidth="1"/>
    <col min="4" max="4" width="49.140625" style="4" customWidth="1"/>
    <col min="5" max="5" width="11.42578125" customWidth="1"/>
    <col min="6" max="6" width="20" customWidth="1"/>
    <col min="7" max="7" width="16" customWidth="1"/>
    <col min="8" max="8" width="37.42578125" customWidth="1"/>
  </cols>
  <sheetData>
    <row r="2" spans="1:7" x14ac:dyDescent="0.25">
      <c r="A2" s="1" t="s">
        <v>80</v>
      </c>
      <c r="C2" s="12" t="s">
        <v>24</v>
      </c>
      <c r="D2" s="43">
        <v>2022</v>
      </c>
    </row>
    <row r="3" spans="1:7" ht="30" x14ac:dyDescent="0.25">
      <c r="A3" t="s">
        <v>81</v>
      </c>
      <c r="C3" s="12" t="s">
        <v>191</v>
      </c>
      <c r="D3" s="58" t="s">
        <v>188</v>
      </c>
      <c r="E3" s="57" t="s">
        <v>220</v>
      </c>
    </row>
    <row r="4" spans="1:7" x14ac:dyDescent="0.25">
      <c r="C4" s="12" t="s">
        <v>75</v>
      </c>
      <c r="D4" s="10" t="e">
        <f>E83</f>
        <v>#DIV/0!</v>
      </c>
    </row>
    <row r="6" spans="1:7" x14ac:dyDescent="0.25">
      <c r="A6" t="s">
        <v>7</v>
      </c>
      <c r="C6" s="12" t="s">
        <v>25</v>
      </c>
      <c r="D6" s="4" t="s">
        <v>21</v>
      </c>
      <c r="F6" t="s">
        <v>20</v>
      </c>
      <c r="G6" t="s">
        <v>42</v>
      </c>
    </row>
    <row r="7" spans="1:7" x14ac:dyDescent="0.25">
      <c r="A7" s="79" t="s">
        <v>9</v>
      </c>
      <c r="B7" s="49" t="s">
        <v>0</v>
      </c>
      <c r="C7" s="13" t="s">
        <v>1</v>
      </c>
      <c r="D7" s="5"/>
      <c r="E7" s="1">
        <f>IF(E8&gt;=100,1,IF(E8&lt;=40,0,(E8-40)/60))*F7</f>
        <v>14.658666666666663</v>
      </c>
      <c r="F7" s="2">
        <v>23</v>
      </c>
      <c r="G7" s="7">
        <f>E7/F7</f>
        <v>0.6373333333333332</v>
      </c>
    </row>
    <row r="8" spans="1:7" x14ac:dyDescent="0.25">
      <c r="A8" s="79"/>
      <c r="B8" s="50"/>
      <c r="C8" s="12" t="s">
        <v>4</v>
      </c>
      <c r="D8" s="4">
        <f>$D$2-2</f>
        <v>2020</v>
      </c>
      <c r="E8" s="22">
        <v>78.239999999999995</v>
      </c>
      <c r="G8" s="7"/>
    </row>
    <row r="9" spans="1:7" x14ac:dyDescent="0.25">
      <c r="A9" s="81" t="s">
        <v>10</v>
      </c>
      <c r="B9" s="47" t="s">
        <v>3</v>
      </c>
      <c r="C9" s="13" t="s">
        <v>2</v>
      </c>
      <c r="D9" s="5"/>
      <c r="E9" s="1">
        <f>IFERROR(IF(E10/E11*100&gt;=100,1,IF(E10/E11*100&lt;=80,0,((E10/E11*100)-80)/20))*F9," ")</f>
        <v>3</v>
      </c>
      <c r="F9" s="46">
        <v>3</v>
      </c>
      <c r="G9" s="7">
        <f t="shared" ref="G9:G38" si="0">E9/F9</f>
        <v>1</v>
      </c>
    </row>
    <row r="10" spans="1:7" x14ac:dyDescent="0.25">
      <c r="A10" s="81"/>
      <c r="B10" s="48"/>
      <c r="C10" s="12" t="s">
        <v>23</v>
      </c>
      <c r="D10" s="4" t="str">
        <f>$D$2-2&amp;" "&amp;$D$2-3&amp;" "&amp;$D$2-4</f>
        <v>2020 2019 2018</v>
      </c>
      <c r="E10" s="22">
        <v>33</v>
      </c>
      <c r="G10" s="7"/>
    </row>
    <row r="11" spans="1:7" x14ac:dyDescent="0.25">
      <c r="A11" s="81"/>
      <c r="B11" s="48"/>
      <c r="C11" s="12" t="s">
        <v>22</v>
      </c>
      <c r="D11" s="4" t="str">
        <f>$D$2-2&amp;" "&amp;$D$2-3&amp;" "&amp;$D$2-4</f>
        <v>2020 2019 2018</v>
      </c>
      <c r="E11" s="22">
        <v>33</v>
      </c>
      <c r="G11" s="7"/>
    </row>
    <row r="12" spans="1:7" x14ac:dyDescent="0.25">
      <c r="A12" s="79" t="s">
        <v>8</v>
      </c>
      <c r="B12" s="49" t="s">
        <v>6</v>
      </c>
      <c r="C12" s="13" t="s">
        <v>5</v>
      </c>
      <c r="D12" s="5"/>
      <c r="E12" s="1">
        <f>IF(E14/E13&gt;=0.5,1,IF(E14/E13&lt;=0,0,(E14/E13/0.5)))*F12</f>
        <v>0.11331444759206799</v>
      </c>
      <c r="F12" s="46">
        <v>4</v>
      </c>
      <c r="G12" s="7">
        <f t="shared" si="0"/>
        <v>2.8328611898016998E-2</v>
      </c>
    </row>
    <row r="13" spans="1:7" x14ac:dyDescent="0.25">
      <c r="A13" s="79"/>
      <c r="B13" s="50"/>
      <c r="C13" s="12" t="s">
        <v>11</v>
      </c>
      <c r="D13" s="4">
        <f>$D$2-2</f>
        <v>2020</v>
      </c>
      <c r="E13" s="22">
        <v>353</v>
      </c>
      <c r="G13" s="7"/>
    </row>
    <row r="14" spans="1:7" x14ac:dyDescent="0.25">
      <c r="A14" s="79"/>
      <c r="B14" s="50"/>
      <c r="C14" s="12" t="s">
        <v>12</v>
      </c>
      <c r="D14" s="4">
        <f>$D$2-2</f>
        <v>2020</v>
      </c>
      <c r="E14" s="22">
        <v>5</v>
      </c>
      <c r="G14" s="7"/>
    </row>
    <row r="15" spans="1:7" x14ac:dyDescent="0.25">
      <c r="A15" s="81" t="s">
        <v>17</v>
      </c>
      <c r="B15" s="47" t="s">
        <v>13</v>
      </c>
      <c r="C15" s="13" t="s">
        <v>14</v>
      </c>
      <c r="D15" s="5"/>
      <c r="E15" s="1" t="e">
        <f>IF(E16/E17&gt;=1,1,IF(E16/E17&lt;=0,0,(E16/E17)))*F15</f>
        <v>#DIV/0!</v>
      </c>
      <c r="F15" s="46">
        <v>2</v>
      </c>
      <c r="G15" s="7" t="e">
        <f t="shared" si="0"/>
        <v>#DIV/0!</v>
      </c>
    </row>
    <row r="16" spans="1:7" x14ac:dyDescent="0.25">
      <c r="A16" s="81"/>
      <c r="B16" s="48"/>
      <c r="C16" s="12" t="s">
        <v>15</v>
      </c>
      <c r="D16" s="4">
        <f>$D$2-2</f>
        <v>2020</v>
      </c>
      <c r="E16" s="22">
        <v>0</v>
      </c>
      <c r="G16" s="7"/>
    </row>
    <row r="17" spans="1:7" x14ac:dyDescent="0.25">
      <c r="A17" s="81"/>
      <c r="B17" s="48"/>
      <c r="C17" s="12" t="s">
        <v>16</v>
      </c>
      <c r="D17" s="4">
        <f>$D$2-2</f>
        <v>2020</v>
      </c>
      <c r="E17" s="22">
        <v>0</v>
      </c>
      <c r="G17" s="7"/>
    </row>
    <row r="18" spans="1:7" x14ac:dyDescent="0.25">
      <c r="A18" s="79" t="s">
        <v>217</v>
      </c>
      <c r="B18" s="49" t="s">
        <v>19</v>
      </c>
      <c r="C18" s="13" t="s">
        <v>18</v>
      </c>
      <c r="D18" s="5"/>
      <c r="E18" s="1">
        <f>IF(IF(E19+E22*0.25+E25*0.1&lt;=0,0,(((E20+0.25*E23+0.1*E26)+3*(E21+0.25*E24+0.1*E27))/(E19+E22*0.25+E25*0.1)))&gt;=0.25,1,IF(IF(E19+E22*0.25+E25*0.1&lt;=0,1,(((E20+0.25*E23+0.1*E26)+3*(E21+0.25*E24+0.1*E27))/(E19+E22*0.25+E25*0.1)))&lt;=0,0,IF(E19+E22*0.25+E25*0.1&lt;=0,1,(((E20+0.25*E23+0.1*E26)+3*(E21+0.25*E24+0.1*E27))/(E19+E22*0.25+E25*0.1))/0.25)))*F18</f>
        <v>0</v>
      </c>
      <c r="F18" s="11">
        <f>IF(OR(D3=Главная!AA14,D3=Главная!AA15,D3=Главная!AA17,D3=Главная!AA18,D3=Главная!AA21),6,9)</f>
        <v>6</v>
      </c>
      <c r="G18" s="7">
        <f t="shared" si="0"/>
        <v>0</v>
      </c>
    </row>
    <row r="19" spans="1:7" x14ac:dyDescent="0.25">
      <c r="A19" s="79"/>
      <c r="B19" s="50"/>
      <c r="C19" s="12" t="s">
        <v>26</v>
      </c>
      <c r="D19" s="4">
        <f t="shared" ref="D19:D41" si="1">$D$2-2</f>
        <v>2020</v>
      </c>
      <c r="E19" s="22">
        <v>697</v>
      </c>
      <c r="G19" s="7"/>
    </row>
    <row r="20" spans="1:7" x14ac:dyDescent="0.25">
      <c r="A20" s="79"/>
      <c r="B20" s="50"/>
      <c r="C20" s="12" t="s">
        <v>27</v>
      </c>
      <c r="D20" s="4">
        <f t="shared" si="1"/>
        <v>2020</v>
      </c>
      <c r="E20" s="22">
        <v>0</v>
      </c>
      <c r="G20" s="7"/>
    </row>
    <row r="21" spans="1:7" x14ac:dyDescent="0.25">
      <c r="A21" s="79"/>
      <c r="B21" s="50"/>
      <c r="C21" s="12" t="s">
        <v>28</v>
      </c>
      <c r="D21" s="4">
        <f t="shared" si="1"/>
        <v>2020</v>
      </c>
      <c r="E21" s="22">
        <v>0</v>
      </c>
      <c r="G21" s="7"/>
    </row>
    <row r="22" spans="1:7" x14ac:dyDescent="0.25">
      <c r="A22" s="79"/>
      <c r="B22" s="50"/>
      <c r="C22" s="12" t="s">
        <v>29</v>
      </c>
      <c r="D22" s="4">
        <f t="shared" si="1"/>
        <v>2020</v>
      </c>
      <c r="E22" s="22">
        <v>0</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0</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0</v>
      </c>
      <c r="G27" s="7"/>
    </row>
    <row r="28" spans="1:7" x14ac:dyDescent="0.25">
      <c r="A28" s="77" t="s">
        <v>143</v>
      </c>
      <c r="B28" s="47" t="s">
        <v>85</v>
      </c>
      <c r="C28" s="13" t="s">
        <v>84</v>
      </c>
      <c r="E28" s="11">
        <f>IFERROR(IF(IF(AND(E35+0.25*E36+0.1*E37=0,0.25*(E29+0.25*E30+0.1*E31)+(E32+0.25*E33+0.1*E34)&gt;0),1,(0.25*(E29+0.25*E30+0.1*E31)+(E32+0.25*E33+0.1*E34))/(E35+0.25*E36+0.1*E37))&gt;=0.2,1,IF(IF(E35+0.25*E36+0.1*E37=0,1,(0.25*(E29+0.25*E30+0.1*E31)+(E32+0.25*E33+0.1*E34))/(E35+0.25*E36+0.1*E37))&lt;=0,0,IF(E35+0.25*E36+0.1*E37=0,1,(0.25*(E29+0.25*E30+0.1*E31)+(E32+0.25*E33+0.1*E34))/(E35+0.25*E36+0.1*E37)/0.2)))*F28," ")</f>
        <v>0.69135581061692963</v>
      </c>
      <c r="F28" s="1">
        <f>IF(OR(D3=Главная!AA14,D3=Главная!AA15,D3=Главная!AA17,D3=Главная!AA18,D3=Главная!AA21),6,0)</f>
        <v>6</v>
      </c>
      <c r="G28" s="7">
        <f t="shared" si="0"/>
        <v>0.11522596843615494</v>
      </c>
    </row>
    <row r="29" spans="1:7" x14ac:dyDescent="0.25">
      <c r="A29" s="77"/>
      <c r="B29" s="48"/>
      <c r="C29" s="12" t="s">
        <v>86</v>
      </c>
      <c r="D29" s="14">
        <f>$D$2-3</f>
        <v>2019</v>
      </c>
      <c r="E29" s="22">
        <v>24</v>
      </c>
      <c r="G29" s="7"/>
    </row>
    <row r="30" spans="1:7" x14ac:dyDescent="0.25">
      <c r="A30" s="77"/>
      <c r="B30" s="48"/>
      <c r="C30" s="12" t="s">
        <v>87</v>
      </c>
      <c r="D30" s="14">
        <f t="shared" ref="D30:D34" si="2">$D$2-3</f>
        <v>2019</v>
      </c>
      <c r="E30" s="22">
        <v>161</v>
      </c>
      <c r="G30" s="7"/>
    </row>
    <row r="31" spans="1:7" x14ac:dyDescent="0.25">
      <c r="A31" s="77"/>
      <c r="B31" s="48"/>
      <c r="C31" s="12" t="s">
        <v>88</v>
      </c>
      <c r="D31" s="14">
        <f t="shared" si="2"/>
        <v>2019</v>
      </c>
      <c r="E31" s="22"/>
      <c r="G31" s="7"/>
    </row>
    <row r="32" spans="1:7" ht="39.75" customHeight="1" x14ac:dyDescent="0.25">
      <c r="A32" s="77"/>
      <c r="B32" s="48"/>
      <c r="C32" s="12" t="s">
        <v>89</v>
      </c>
      <c r="D32" s="14">
        <f t="shared" si="2"/>
        <v>2019</v>
      </c>
      <c r="E32" s="22"/>
      <c r="G32" s="7"/>
    </row>
    <row r="33" spans="1:7" x14ac:dyDescent="0.25">
      <c r="A33" s="77" t="s">
        <v>142</v>
      </c>
      <c r="B33" s="48"/>
      <c r="C33" s="12" t="s">
        <v>90</v>
      </c>
      <c r="D33" s="14">
        <f t="shared" si="2"/>
        <v>2019</v>
      </c>
      <c r="E33" s="22"/>
      <c r="G33" s="7"/>
    </row>
    <row r="34" spans="1:7" x14ac:dyDescent="0.25">
      <c r="A34" s="77"/>
      <c r="B34" s="48"/>
      <c r="C34" s="12" t="s">
        <v>91</v>
      </c>
      <c r="D34" s="14">
        <f t="shared" si="2"/>
        <v>2019</v>
      </c>
      <c r="E34" s="22"/>
      <c r="G34" s="7"/>
    </row>
    <row r="35" spans="1:7" x14ac:dyDescent="0.25">
      <c r="A35" s="77"/>
      <c r="B35" s="48"/>
      <c r="C35" s="12" t="s">
        <v>92</v>
      </c>
      <c r="D35" s="4">
        <f t="shared" ref="D35:D37" si="3">$D$2-2</f>
        <v>2020</v>
      </c>
      <c r="E35" s="22">
        <f>E19+E20</f>
        <v>697</v>
      </c>
      <c r="G35" s="7"/>
    </row>
    <row r="36" spans="1:7" x14ac:dyDescent="0.25">
      <c r="A36" s="77"/>
      <c r="B36" s="48"/>
      <c r="C36" s="12" t="s">
        <v>93</v>
      </c>
      <c r="D36" s="4">
        <f t="shared" si="3"/>
        <v>2020</v>
      </c>
      <c r="E36" s="22">
        <f>E22+E23</f>
        <v>0</v>
      </c>
      <c r="G36" s="7"/>
    </row>
    <row r="37" spans="1:7" x14ac:dyDescent="0.25">
      <c r="A37" s="77"/>
      <c r="B37" s="48"/>
      <c r="C37" s="12" t="s">
        <v>94</v>
      </c>
      <c r="D37" s="4">
        <f t="shared" si="3"/>
        <v>2020</v>
      </c>
      <c r="E37" s="22">
        <f>E25+E26</f>
        <v>0</v>
      </c>
      <c r="G37" s="7"/>
    </row>
    <row r="38" spans="1:7" x14ac:dyDescent="0.25">
      <c r="A38" s="78" t="s">
        <v>41</v>
      </c>
      <c r="B38" s="49" t="s">
        <v>36</v>
      </c>
      <c r="C38" s="13" t="s">
        <v>37</v>
      </c>
      <c r="D38" s="5"/>
      <c r="E38" s="1">
        <f>IF(((E39+E40*0.25+E41*0.1)/(E19+E22*0.25+E25*0.1))&gt;=0.5,1,IF((E39+E40*0.25+E41*0.1)/(E19+E22*0.25+E25*0.1)&lt;=0,0,((E39+E40*0.25+E41*0.1)/(E19+E22*0.25+E25*0.1)/0.5)))*F38</f>
        <v>0.12051649928263988</v>
      </c>
      <c r="F38" s="11">
        <f>IF(OR(D3=Главная!AA14,D3=Главная!AA15,D3=Главная!AA17,D3=Главная!AA18,D3=Главная!AA21),6,9)</f>
        <v>6</v>
      </c>
      <c r="G38" s="7">
        <f t="shared" si="0"/>
        <v>2.0086083213773313E-2</v>
      </c>
    </row>
    <row r="39" spans="1:7" x14ac:dyDescent="0.25">
      <c r="A39" s="78"/>
      <c r="B39" s="50"/>
      <c r="C39" s="12" t="s">
        <v>38</v>
      </c>
      <c r="D39" s="4">
        <f t="shared" si="1"/>
        <v>2020</v>
      </c>
      <c r="E39" s="22">
        <v>7</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0</v>
      </c>
      <c r="G41" s="7"/>
    </row>
    <row r="42" spans="1:7" ht="15" customHeight="1" x14ac:dyDescent="0.25">
      <c r="A42" s="77" t="s">
        <v>145</v>
      </c>
      <c r="B42" s="76" t="s">
        <v>44</v>
      </c>
      <c r="C42" s="13" t="s">
        <v>43</v>
      </c>
      <c r="D42" s="5"/>
      <c r="E42" s="1" t="str">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f>
        <v/>
      </c>
      <c r="F42" s="2">
        <v>25</v>
      </c>
      <c r="G42" s="7" t="e">
        <f>E42/F42</f>
        <v>#VALUE!</v>
      </c>
    </row>
    <row r="43" spans="1:7" x14ac:dyDescent="0.25">
      <c r="A43" s="77"/>
      <c r="B43" s="76" t="s">
        <v>218</v>
      </c>
      <c r="C43" s="12" t="s">
        <v>46</v>
      </c>
      <c r="D43" s="4" t="str">
        <f>$D$2-4&amp;" "&amp;$D$2-5&amp;" "&amp;$D$2-6</f>
        <v>2018 2017 2016</v>
      </c>
      <c r="E43" s="22"/>
    </row>
    <row r="44" spans="1:7" x14ac:dyDescent="0.25">
      <c r="A44" s="77"/>
      <c r="B44" s="76"/>
      <c r="C44" s="12" t="s">
        <v>45</v>
      </c>
      <c r="D44" s="4" t="str">
        <f>$D$2-3&amp;" "&amp;$D$2-4&amp;" "&amp;$D$2-5</f>
        <v>2019 2018 2017</v>
      </c>
      <c r="E44" s="22"/>
    </row>
    <row r="45" spans="1:7" x14ac:dyDescent="0.25">
      <c r="A45" s="79" t="s">
        <v>219</v>
      </c>
      <c r="B45" s="49" t="s">
        <v>48</v>
      </c>
      <c r="C45" s="13" t="s">
        <v>47</v>
      </c>
      <c r="D45" s="5"/>
      <c r="E45" s="1">
        <f>IFERROR(IF(E47/E46*100&lt;=30,0,IF(E47/E46*100&gt;=60,1,(E47/E46*100-30)/30))*F45," ")</f>
        <v>5</v>
      </c>
      <c r="F45" s="46">
        <v>5</v>
      </c>
      <c r="G45" s="7">
        <f t="shared" ref="G45" si="4">E45/F45</f>
        <v>1</v>
      </c>
    </row>
    <row r="46" spans="1:7" x14ac:dyDescent="0.25">
      <c r="A46" s="79"/>
      <c r="B46" s="50"/>
      <c r="C46" s="12" t="s">
        <v>49</v>
      </c>
      <c r="D46" s="8">
        <f>$D$2-5</f>
        <v>2017</v>
      </c>
      <c r="E46" s="22">
        <v>31</v>
      </c>
    </row>
    <row r="47" spans="1:7" x14ac:dyDescent="0.25">
      <c r="A47" s="80"/>
      <c r="B47" s="50"/>
      <c r="C47" s="12" t="s">
        <v>50</v>
      </c>
      <c r="D47" s="4">
        <f t="shared" ref="D47" si="5">$D$2-2</f>
        <v>2020</v>
      </c>
      <c r="E47" s="29">
        <v>28</v>
      </c>
    </row>
    <row r="48" spans="1:7" s="56" customFormat="1" ht="15" customHeight="1" x14ac:dyDescent="0.25">
      <c r="A48" s="71" t="s">
        <v>224</v>
      </c>
      <c r="B48" s="72"/>
      <c r="C48" s="72"/>
      <c r="D48" s="72"/>
      <c r="E48" s="72"/>
      <c r="F48" s="72"/>
      <c r="G48" s="73"/>
    </row>
    <row r="49" spans="1:8" ht="15" hidden="1" customHeight="1" x14ac:dyDescent="0.25">
      <c r="A49" s="74" t="s">
        <v>59</v>
      </c>
      <c r="B49" s="59" t="s">
        <v>52</v>
      </c>
      <c r="C49" s="30" t="s">
        <v>53</v>
      </c>
      <c r="D49" s="31"/>
      <c r="E49" s="32">
        <f>IFERROR(IF((E56/(E50+E53)+E57/(E51+E54)+E58/(E52+E55))/3*100&lt;=5,0,IF((E56/(E50+E53)+E57/(E51+E54)+E58/(E52+E55))/3*100&gt;=100,1,((E56/(E50+E53)+E57/(E51+E54)+E58/(E52+E55))/3*100-5)/95))*F49,"")</f>
        <v>0</v>
      </c>
      <c r="F49" s="32">
        <f>IF(OR(Главная!AA13=D3,Главная!AA14=D3,Главная!AA15=D3,Главная!AA16=D3,Главная!AA23=D3),5,0)</f>
        <v>0</v>
      </c>
      <c r="G49" s="33" t="e">
        <f t="shared" ref="G49" si="6">E49/F49</f>
        <v>#DIV/0!</v>
      </c>
      <c r="H49" s="34"/>
    </row>
    <row r="50" spans="1:8" hidden="1" x14ac:dyDescent="0.25">
      <c r="A50" s="75"/>
      <c r="B50" s="55"/>
      <c r="C50" s="12" t="s">
        <v>54</v>
      </c>
      <c r="D50" s="8">
        <f>$D$2-5</f>
        <v>2017</v>
      </c>
      <c r="E50" s="22">
        <v>1051.2</v>
      </c>
    </row>
    <row r="51" spans="1:8" hidden="1" x14ac:dyDescent="0.25">
      <c r="A51" s="75"/>
      <c r="B51" s="55"/>
      <c r="C51" s="12" t="s">
        <v>54</v>
      </c>
      <c r="D51" s="8">
        <f>$D$2-4</f>
        <v>2018</v>
      </c>
      <c r="E51" s="22">
        <v>1047.5</v>
      </c>
    </row>
    <row r="52" spans="1:8" hidden="1" x14ac:dyDescent="0.25">
      <c r="A52" s="75"/>
      <c r="B52" s="55"/>
      <c r="C52" s="12" t="s">
        <v>54</v>
      </c>
      <c r="D52" s="8">
        <f>$D$2-3</f>
        <v>2019</v>
      </c>
      <c r="E52" s="22">
        <v>1059.5</v>
      </c>
    </row>
    <row r="53" spans="1:8" hidden="1" x14ac:dyDescent="0.25">
      <c r="A53" s="75"/>
      <c r="B53" s="55"/>
      <c r="C53" s="12" t="s">
        <v>55</v>
      </c>
      <c r="D53" s="8">
        <f>$D$2-5</f>
        <v>2017</v>
      </c>
      <c r="E53" s="22">
        <v>56.2</v>
      </c>
    </row>
    <row r="54" spans="1:8" hidden="1" x14ac:dyDescent="0.25">
      <c r="A54" s="75"/>
      <c r="B54" s="55"/>
      <c r="C54" s="12" t="s">
        <v>55</v>
      </c>
      <c r="D54" s="8">
        <f>$D$2-4</f>
        <v>2018</v>
      </c>
      <c r="E54" s="22">
        <v>54.6</v>
      </c>
    </row>
    <row r="55" spans="1:8" hidden="1" x14ac:dyDescent="0.25">
      <c r="A55" s="75"/>
      <c r="B55" s="55"/>
      <c r="C55" s="12" t="s">
        <v>55</v>
      </c>
      <c r="D55" s="8">
        <f>$D$2-3</f>
        <v>2019</v>
      </c>
      <c r="E55" s="22">
        <v>56.5</v>
      </c>
    </row>
    <row r="56" spans="1:8" hidden="1" x14ac:dyDescent="0.25">
      <c r="A56" s="75"/>
      <c r="B56" s="55"/>
      <c r="C56" s="12" t="s">
        <v>56</v>
      </c>
      <c r="D56" s="8">
        <f>$D$2-5</f>
        <v>2017</v>
      </c>
      <c r="E56" s="22">
        <v>380</v>
      </c>
    </row>
    <row r="57" spans="1:8" hidden="1" x14ac:dyDescent="0.25">
      <c r="A57" s="75"/>
      <c r="B57" s="55"/>
      <c r="C57" s="12" t="s">
        <v>56</v>
      </c>
      <c r="D57" s="8">
        <f>$D$2-4</f>
        <v>2018</v>
      </c>
      <c r="E57" s="22">
        <v>830</v>
      </c>
      <c r="F57" s="9"/>
    </row>
    <row r="58" spans="1:8" hidden="1" x14ac:dyDescent="0.25">
      <c r="A58" s="75"/>
      <c r="B58" s="55"/>
      <c r="C58" s="12" t="s">
        <v>56</v>
      </c>
      <c r="D58" s="8">
        <f>$D$2-3</f>
        <v>2019</v>
      </c>
      <c r="E58" s="22">
        <v>1149</v>
      </c>
      <c r="F58" s="9"/>
    </row>
    <row r="59" spans="1:8" hidden="1" x14ac:dyDescent="0.25">
      <c r="A59" s="82" t="s">
        <v>79</v>
      </c>
      <c r="B59" s="51" t="s">
        <v>58</v>
      </c>
      <c r="C59" s="13" t="s">
        <v>57</v>
      </c>
      <c r="D59" s="5"/>
      <c r="E59" s="1">
        <f>IFERROR(IF((E60/(E50+E53)+E61/(E51+E54)+E62/(E52+E55))/3&lt;=100,0,IF((E60/(E50+E53)+E61/(E51+E54)+E62/(E52+E55))/3&gt;=1000,1,((E60/(E50+E53)+E61/(E51+E54)+E62/(E52+E55))/3-100)/900))*F59," ")</f>
        <v>0</v>
      </c>
      <c r="F59" s="11">
        <f>IF(OR(Главная!AA17=D3,Главная!AA20=D3),7,IF(OR(Главная!AA13=D3,Главная!AA14=D3,Главная!AA15=D3,Главная!AA16=D3,Главная!AA23=D3),5,0))</f>
        <v>0</v>
      </c>
      <c r="G59" s="7" t="e">
        <f t="shared" ref="G59" si="7">E59/F59</f>
        <v>#DIV/0!</v>
      </c>
    </row>
    <row r="60" spans="1:8" hidden="1" x14ac:dyDescent="0.25">
      <c r="A60" s="82"/>
      <c r="B60" s="52"/>
      <c r="C60" s="12" t="s">
        <v>82</v>
      </c>
      <c r="D60" s="8">
        <f>$D$2-5</f>
        <v>2017</v>
      </c>
      <c r="E60" s="22">
        <v>265431.7</v>
      </c>
      <c r="F60" s="9"/>
    </row>
    <row r="61" spans="1:8" hidden="1" x14ac:dyDescent="0.25">
      <c r="A61" s="82"/>
      <c r="B61" s="52"/>
      <c r="C61" s="12" t="s">
        <v>82</v>
      </c>
      <c r="D61" s="8">
        <f>$D$2-4</f>
        <v>2018</v>
      </c>
      <c r="E61" s="22">
        <v>382808.6</v>
      </c>
      <c r="F61" s="9"/>
    </row>
    <row r="62" spans="1:8" hidden="1" x14ac:dyDescent="0.25">
      <c r="A62" s="82"/>
      <c r="B62" s="52"/>
      <c r="C62" s="12" t="s">
        <v>82</v>
      </c>
      <c r="D62" s="8">
        <f>$D$2-3</f>
        <v>2019</v>
      </c>
      <c r="E62" s="22">
        <v>619984.4</v>
      </c>
      <c r="F62" s="9"/>
    </row>
    <row r="63" spans="1:8" x14ac:dyDescent="0.25">
      <c r="A63" s="83" t="s">
        <v>78</v>
      </c>
      <c r="B63" s="2" t="s">
        <v>61</v>
      </c>
      <c r="C63" s="13" t="s">
        <v>60</v>
      </c>
      <c r="D63" s="5"/>
      <c r="E63" s="1">
        <f>IF((E67+0.25*E68+0.1*E69)/(E64+E65*0.25+E66*0.1)*100&gt;=15,1,IF((E67+0.25*E68+0.1*E69)/(E64+E65*0.25+E66*0.1)*100&lt;=1,0,((E67+0.25*E68+0.1*E69)/(E64+E65*0.25+E66*0.1)*100-1)/14))*F63</f>
        <v>4.088146661436717</v>
      </c>
      <c r="F63" s="11">
        <f>IF(OR(Главная!AA17=D3,Главная!AA20=D3,Главная!AA18=D3),6,IF(OR(Главная!AA13=D3,Главная!AA14=D3,Главная!AA15=D3,Главная!AA16=D3,Главная!AA23=D3),5,10))</f>
        <v>10</v>
      </c>
      <c r="G63" s="7">
        <f t="shared" ref="G63:G83" si="8">E63/F63</f>
        <v>0.40881466614367168</v>
      </c>
    </row>
    <row r="64" spans="1:8"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9.6209638756671652</v>
      </c>
      <c r="F70" s="11">
        <f>IF(OR(Главная!AA17=D3,Главная!AA20=D3,Главная!AA18=D3),7,IF(OR(Главная!AA13=D3,Главная!AA14=D3,Главная!AA15=D3,Главная!AA16=D3,Главная!AA23=D3),5,10))</f>
        <v>10</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t="e">
        <f>SUM(E7,E9,E12,E15,E18,E38,E42,E45,E49,E59,E63,E70,E28,E89:E93)*(IF(1+0.5*((E84+E85*0.25+E86*0.1)/(E19+E22*0.25+E25*0.1)-0.2)/0.8&lt;1,1,1+0.5*((E84+E85*0.25+E86*0.1)/(E19+E22*0.25+E25*0.1)-0.2)/0.8))</f>
        <v>#DIV/0!</v>
      </c>
      <c r="F83">
        <v>100</v>
      </c>
      <c r="G83" s="7" t="e">
        <f t="shared" si="8"/>
        <v>#DIV/0!</v>
      </c>
    </row>
    <row r="84" spans="1:7" x14ac:dyDescent="0.25">
      <c r="A84" s="85"/>
      <c r="B84" s="54"/>
      <c r="C84" s="12" t="s">
        <v>72</v>
      </c>
      <c r="D84" s="4">
        <f t="shared" ref="D84:D86" si="10">$D$2-2</f>
        <v>2020</v>
      </c>
      <c r="E84" s="22">
        <v>1</v>
      </c>
      <c r="G84" s="7"/>
    </row>
    <row r="85" spans="1:7" x14ac:dyDescent="0.25">
      <c r="A85" s="85"/>
      <c r="B85" s="54"/>
      <c r="C85" s="12" t="s">
        <v>73</v>
      </c>
      <c r="D85" s="4">
        <f t="shared" si="10"/>
        <v>2020</v>
      </c>
      <c r="E85" s="22">
        <v>0</v>
      </c>
      <c r="G85" s="7"/>
    </row>
    <row r="86" spans="1:7" x14ac:dyDescent="0.25">
      <c r="A86" s="85"/>
      <c r="B86" s="54"/>
      <c r="C86" s="12" t="s">
        <v>74</v>
      </c>
      <c r="D86" s="4">
        <f t="shared" si="10"/>
        <v>2020</v>
      </c>
      <c r="E86" s="22">
        <v>0</v>
      </c>
      <c r="G86" s="7"/>
    </row>
    <row r="87" spans="1:7" x14ac:dyDescent="0.25">
      <c r="G87" s="7"/>
    </row>
    <row r="88" spans="1:7" x14ac:dyDescent="0.25">
      <c r="A88" s="9"/>
      <c r="B88" s="11"/>
      <c r="C88" s="86"/>
      <c r="D88" s="86"/>
      <c r="E88" s="86"/>
      <c r="F88" s="11"/>
      <c r="G88" s="7"/>
    </row>
    <row r="89" spans="1:7" x14ac:dyDescent="0.25">
      <c r="A89" s="9"/>
      <c r="B89" s="9"/>
      <c r="C89" s="64"/>
      <c r="D89" s="27"/>
      <c r="E89" s="24"/>
      <c r="F89" s="23"/>
      <c r="G89" s="7"/>
    </row>
    <row r="90" spans="1:7" x14ac:dyDescent="0.25">
      <c r="A90" s="9"/>
      <c r="B90" s="9"/>
      <c r="C90" s="28"/>
      <c r="D90" s="27"/>
      <c r="E90" s="25"/>
      <c r="F90" s="23"/>
      <c r="G90" s="7"/>
    </row>
    <row r="91" spans="1:7" x14ac:dyDescent="0.25">
      <c r="A91" s="9"/>
      <c r="B91" s="9"/>
      <c r="C91" s="28"/>
      <c r="D91" s="27"/>
      <c r="E91" s="25"/>
      <c r="F91" s="23"/>
      <c r="G91" s="7"/>
    </row>
    <row r="92" spans="1:7" x14ac:dyDescent="0.25">
      <c r="A92" s="9"/>
      <c r="B92" s="9"/>
      <c r="C92" s="28"/>
      <c r="D92" s="27"/>
      <c r="E92" s="25"/>
      <c r="F92" s="23"/>
      <c r="G92" s="7"/>
    </row>
    <row r="93" spans="1:7" x14ac:dyDescent="0.25">
      <c r="A93" s="9"/>
      <c r="B93" s="9"/>
      <c r="C93" s="28"/>
      <c r="D93" s="27"/>
      <c r="E93" s="25"/>
      <c r="F93" s="23"/>
      <c r="G93" s="7"/>
    </row>
    <row r="94" spans="1:7" x14ac:dyDescent="0.25">
      <c r="A94" s="9"/>
      <c r="B94" s="9"/>
      <c r="C94" s="16"/>
      <c r="D94" s="17"/>
      <c r="E94" s="9"/>
      <c r="F94" s="9"/>
      <c r="G94" s="9"/>
    </row>
    <row r="95" spans="1:7" x14ac:dyDescent="0.25">
      <c r="B95" s="9"/>
      <c r="C95" s="16"/>
      <c r="D95" s="15"/>
      <c r="E95" s="9"/>
      <c r="F95" s="9"/>
      <c r="G95" s="9"/>
    </row>
    <row r="96" spans="1:7" x14ac:dyDescent="0.25">
      <c r="B96" s="9"/>
      <c r="C96" s="16"/>
      <c r="D96" s="15"/>
      <c r="E96" s="9"/>
      <c r="F96" s="9"/>
      <c r="G96" s="9"/>
    </row>
    <row r="97" spans="2:7" x14ac:dyDescent="0.25">
      <c r="B97" s="9"/>
      <c r="C97" s="16"/>
      <c r="D97" s="15"/>
      <c r="E97" s="9"/>
      <c r="F97" s="9"/>
      <c r="G97" s="9"/>
    </row>
  </sheetData>
  <mergeCells count="18">
    <mergeCell ref="C88:E88"/>
    <mergeCell ref="A33:A37"/>
    <mergeCell ref="A38:A41"/>
    <mergeCell ref="A42:A44"/>
    <mergeCell ref="B42:B44"/>
    <mergeCell ref="A45:A47"/>
    <mergeCell ref="A48:G48"/>
    <mergeCell ref="A49:A58"/>
    <mergeCell ref="A59:A62"/>
    <mergeCell ref="A63:A69"/>
    <mergeCell ref="A70:A82"/>
    <mergeCell ref="A83:A86"/>
    <mergeCell ref="A28:A32"/>
    <mergeCell ref="A7:A8"/>
    <mergeCell ref="A9:A11"/>
    <mergeCell ref="A12:A14"/>
    <mergeCell ref="A15:A17"/>
    <mergeCell ref="A18:A27"/>
  </mergeCells>
  <conditionalFormatting sqref="G1:G47 G49:G1048576">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Главная!$AA$13:$AA$23</xm:f>
          </x14:formula1>
          <xm:sqref>D3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2">
    <tabColor rgb="FF92D050"/>
  </sheetPr>
  <dimension ref="A2:H97"/>
  <sheetViews>
    <sheetView workbookViewId="0">
      <selection activeCell="D3" sqref="D3"/>
    </sheetView>
  </sheetViews>
  <sheetFormatPr defaultRowHeight="15" x14ac:dyDescent="0.25"/>
  <cols>
    <col min="1" max="1" width="55" customWidth="1"/>
    <col min="2" max="2" width="12.5703125" customWidth="1"/>
    <col min="3" max="3" width="83.140625" style="12" customWidth="1"/>
    <col min="4" max="4" width="49.140625" style="4" customWidth="1"/>
    <col min="5" max="5" width="11.42578125" customWidth="1"/>
    <col min="6" max="6" width="20" customWidth="1"/>
    <col min="7" max="7" width="16" customWidth="1"/>
    <col min="8" max="8" width="37.42578125" customWidth="1"/>
  </cols>
  <sheetData>
    <row r="2" spans="1:7" x14ac:dyDescent="0.25">
      <c r="A2" s="1" t="s">
        <v>80</v>
      </c>
      <c r="C2" s="12" t="s">
        <v>24</v>
      </c>
      <c r="D2" s="43">
        <v>2022</v>
      </c>
    </row>
    <row r="3" spans="1:7" x14ac:dyDescent="0.25">
      <c r="A3" t="s">
        <v>81</v>
      </c>
      <c r="C3" s="12" t="s">
        <v>191</v>
      </c>
      <c r="D3" s="58" t="s">
        <v>189</v>
      </c>
      <c r="E3" s="57" t="s">
        <v>220</v>
      </c>
    </row>
    <row r="4" spans="1:7" x14ac:dyDescent="0.25">
      <c r="C4" s="12" t="s">
        <v>75</v>
      </c>
      <c r="D4" s="10">
        <f>E83</f>
        <v>63.916331467336441</v>
      </c>
    </row>
    <row r="6" spans="1:7" x14ac:dyDescent="0.25">
      <c r="A6" t="s">
        <v>7</v>
      </c>
      <c r="C6" s="12" t="s">
        <v>25</v>
      </c>
      <c r="D6" s="4" t="s">
        <v>21</v>
      </c>
      <c r="F6" t="s">
        <v>20</v>
      </c>
      <c r="G6" t="s">
        <v>42</v>
      </c>
    </row>
    <row r="7" spans="1:7" x14ac:dyDescent="0.25">
      <c r="A7" s="79" t="s">
        <v>9</v>
      </c>
      <c r="B7" s="49" t="s">
        <v>0</v>
      </c>
      <c r="C7" s="13" t="s">
        <v>1</v>
      </c>
      <c r="D7" s="5"/>
      <c r="E7" s="1">
        <f>IF(E8&gt;=100,1,IF(E8&lt;=40,0,(E8-40)/60))*F7</f>
        <v>17.1235</v>
      </c>
      <c r="F7" s="2">
        <v>23</v>
      </c>
      <c r="G7" s="7">
        <f>E7/F7</f>
        <v>0.74450000000000005</v>
      </c>
    </row>
    <row r="8" spans="1:7" x14ac:dyDescent="0.25">
      <c r="A8" s="79"/>
      <c r="B8" s="50"/>
      <c r="C8" s="12" t="s">
        <v>4</v>
      </c>
      <c r="D8" s="4">
        <f>$D$2-2</f>
        <v>2020</v>
      </c>
      <c r="E8" s="22">
        <v>84.67</v>
      </c>
      <c r="G8" s="7"/>
    </row>
    <row r="9" spans="1:7" x14ac:dyDescent="0.25">
      <c r="A9" s="81" t="s">
        <v>10</v>
      </c>
      <c r="B9" s="47" t="s">
        <v>3</v>
      </c>
      <c r="C9" s="13" t="s">
        <v>2</v>
      </c>
      <c r="D9" s="5"/>
      <c r="E9" s="1">
        <f>IFERROR(IF(E10/E11*100&gt;=100,1,IF(E10/E11*100&lt;=80,0,((E10/E11*100)-80)/20))*F9," ")</f>
        <v>3</v>
      </c>
      <c r="F9" s="46">
        <v>3</v>
      </c>
      <c r="G9" s="7">
        <f t="shared" ref="G9:G38" si="0">E9/F9</f>
        <v>1</v>
      </c>
    </row>
    <row r="10" spans="1:7" x14ac:dyDescent="0.25">
      <c r="A10" s="81"/>
      <c r="B10" s="48"/>
      <c r="C10" s="12" t="s">
        <v>23</v>
      </c>
      <c r="D10" s="4" t="str">
        <f>$D$2-2&amp;" "&amp;$D$2-3&amp;" "&amp;$D$2-4</f>
        <v>2020 2019 2018</v>
      </c>
      <c r="E10" s="22">
        <v>153</v>
      </c>
      <c r="G10" s="7"/>
    </row>
    <row r="11" spans="1:7" x14ac:dyDescent="0.25">
      <c r="A11" s="81"/>
      <c r="B11" s="48"/>
      <c r="C11" s="12" t="s">
        <v>22</v>
      </c>
      <c r="D11" s="4" t="str">
        <f>$D$2-2&amp;" "&amp;$D$2-3&amp;" "&amp;$D$2-4</f>
        <v>2020 2019 2018</v>
      </c>
      <c r="E11" s="22">
        <v>153</v>
      </c>
      <c r="G11" s="7"/>
    </row>
    <row r="12" spans="1:7" x14ac:dyDescent="0.25">
      <c r="A12" s="79" t="s">
        <v>8</v>
      </c>
      <c r="B12" s="49" t="s">
        <v>6</v>
      </c>
      <c r="C12" s="13" t="s">
        <v>5</v>
      </c>
      <c r="D12" s="5"/>
      <c r="E12" s="1">
        <f>IF(E14/E13&gt;=0.5,1,IF(E14/E13&lt;=0,0,(E14/E13/0.5)))*F12</f>
        <v>0</v>
      </c>
      <c r="F12" s="46">
        <v>4</v>
      </c>
      <c r="G12" s="7">
        <f t="shared" si="0"/>
        <v>0</v>
      </c>
    </row>
    <row r="13" spans="1:7" x14ac:dyDescent="0.25">
      <c r="A13" s="79"/>
      <c r="B13" s="50"/>
      <c r="C13" s="12" t="s">
        <v>11</v>
      </c>
      <c r="D13" s="4">
        <f>$D$2-2</f>
        <v>2020</v>
      </c>
      <c r="E13" s="22">
        <v>59</v>
      </c>
      <c r="G13" s="7"/>
    </row>
    <row r="14" spans="1:7" x14ac:dyDescent="0.25">
      <c r="A14" s="79"/>
      <c r="B14" s="50"/>
      <c r="C14" s="12" t="s">
        <v>12</v>
      </c>
      <c r="D14" s="4">
        <f>$D$2-2</f>
        <v>2020</v>
      </c>
      <c r="E14" s="22">
        <v>0</v>
      </c>
      <c r="G14" s="7"/>
    </row>
    <row r="15" spans="1:7" x14ac:dyDescent="0.25">
      <c r="A15" s="81" t="s">
        <v>17</v>
      </c>
      <c r="B15" s="47" t="s">
        <v>13</v>
      </c>
      <c r="C15" s="13" t="s">
        <v>14</v>
      </c>
      <c r="D15" s="5"/>
      <c r="E15" s="1">
        <f>IF(E16/E17&gt;=1,1,IF(E16/E17&lt;=0,0,(E16/E17)))*F15</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1</v>
      </c>
      <c r="G17" s="7"/>
    </row>
    <row r="18" spans="1:7" x14ac:dyDescent="0.25">
      <c r="A18" s="79" t="s">
        <v>217</v>
      </c>
      <c r="B18" s="49" t="s">
        <v>19</v>
      </c>
      <c r="C18" s="13" t="s">
        <v>18</v>
      </c>
      <c r="D18" s="5"/>
      <c r="E18" s="1">
        <f>IF(IF(E19+E22*0.25+E25*0.1&lt;=0,0,(((E20+0.25*E23+0.1*E26)+3*(E21+0.25*E24+0.1*E27))/(E19+E22*0.25+E25*0.1)))&gt;=0.25,1,IF(IF(E19+E22*0.25+E25*0.1&lt;=0,1,(((E20+0.25*E23+0.1*E26)+3*(E21+0.25*E24+0.1*E27))/(E19+E22*0.25+E25*0.1)))&lt;=0,0,IF(E19+E22*0.25+E25*0.1&lt;=0,1,(((E20+0.25*E23+0.1*E26)+3*(E21+0.25*E24+0.1*E27))/(E19+E22*0.25+E25*0.1))/0.25)))*F18</f>
        <v>0</v>
      </c>
      <c r="F18" s="11">
        <f>IF(OR(D3=Главная!AA14,D3=Главная!AA15,D3=Главная!AA17,D3=Главная!AA18,D3=Главная!AA21),6,9)</f>
        <v>9</v>
      </c>
      <c r="G18" s="7">
        <f t="shared" si="0"/>
        <v>0</v>
      </c>
    </row>
    <row r="19" spans="1:7" x14ac:dyDescent="0.25">
      <c r="A19" s="79"/>
      <c r="B19" s="50"/>
      <c r="C19" s="12" t="s">
        <v>26</v>
      </c>
      <c r="D19" s="4">
        <f t="shared" ref="D19:D41" si="1">$D$2-2</f>
        <v>2020</v>
      </c>
      <c r="E19" s="22">
        <v>215</v>
      </c>
      <c r="G19" s="7"/>
    </row>
    <row r="20" spans="1:7" x14ac:dyDescent="0.25">
      <c r="A20" s="79"/>
      <c r="B20" s="50"/>
      <c r="C20" s="12" t="s">
        <v>27</v>
      </c>
      <c r="D20" s="4">
        <f t="shared" si="1"/>
        <v>2020</v>
      </c>
      <c r="E20" s="22">
        <v>0</v>
      </c>
      <c r="G20" s="7"/>
    </row>
    <row r="21" spans="1:7" x14ac:dyDescent="0.25">
      <c r="A21" s="79"/>
      <c r="B21" s="50"/>
      <c r="C21" s="12" t="s">
        <v>28</v>
      </c>
      <c r="D21" s="4">
        <f t="shared" si="1"/>
        <v>2020</v>
      </c>
      <c r="E21" s="22">
        <v>0</v>
      </c>
      <c r="G21" s="7"/>
    </row>
    <row r="22" spans="1:7" x14ac:dyDescent="0.25">
      <c r="A22" s="79"/>
      <c r="B22" s="50"/>
      <c r="C22" s="12" t="s">
        <v>29</v>
      </c>
      <c r="D22" s="4">
        <f t="shared" si="1"/>
        <v>2020</v>
      </c>
      <c r="E22" s="22">
        <v>0</v>
      </c>
      <c r="G22" s="7"/>
    </row>
    <row r="23" spans="1:7" x14ac:dyDescent="0.25">
      <c r="A23" s="79"/>
      <c r="B23" s="50"/>
      <c r="C23" s="12" t="s">
        <v>30</v>
      </c>
      <c r="D23" s="4">
        <f t="shared" si="1"/>
        <v>2020</v>
      </c>
      <c r="E23" s="22">
        <v>0</v>
      </c>
      <c r="G23" s="7"/>
    </row>
    <row r="24" spans="1:7" x14ac:dyDescent="0.25">
      <c r="A24" s="79"/>
      <c r="B24" s="50"/>
      <c r="C24" s="12" t="s">
        <v>236</v>
      </c>
      <c r="D24" s="4">
        <f t="shared" si="1"/>
        <v>2020</v>
      </c>
      <c r="E24" s="22">
        <v>0</v>
      </c>
      <c r="G24" s="7"/>
    </row>
    <row r="25" spans="1:7" x14ac:dyDescent="0.25">
      <c r="A25" s="79"/>
      <c r="B25" s="50"/>
      <c r="C25" s="12" t="s">
        <v>32</v>
      </c>
      <c r="D25" s="4">
        <f t="shared" si="1"/>
        <v>2020</v>
      </c>
      <c r="E25" s="22">
        <v>0</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0</v>
      </c>
      <c r="G27" s="7"/>
    </row>
    <row r="28" spans="1:7" x14ac:dyDescent="0.25">
      <c r="A28" s="77" t="s">
        <v>143</v>
      </c>
      <c r="B28" s="47" t="s">
        <v>85</v>
      </c>
      <c r="C28" s="13" t="s">
        <v>84</v>
      </c>
      <c r="E28" s="11">
        <f>IFERROR(IF(IF(AND(E35+0.25*E36+0.1*E37=0,0.25*(E29+0.25*E30+0.1*E31)+(E32+0.25*E33+0.1*E34)&gt;0),1,(0.25*(E29+0.25*E30+0.1*E31)+(E32+0.25*E33+0.1*E34))/(E35+0.25*E36+0.1*E37))&gt;=0.2,1,IF(IF(E35+0.25*E36+0.1*E37=0,1,(0.25*(E29+0.25*E30+0.1*E31)+(E32+0.25*E33+0.1*E34))/(E35+0.25*E36+0.1*E37))&lt;=0,0,IF(E35+0.25*E36+0.1*E37=0,1,(0.25*(E29+0.25*E30+0.1*E31)+(E32+0.25*E33+0.1*E34))/(E35+0.25*E36+0.1*E37)/0.2)))*F28," ")</f>
        <v>0</v>
      </c>
      <c r="F28" s="1">
        <f>IF(OR(D3=Главная!AA14,D3=Главная!AA15,D3=Главная!AA17,D3=Главная!AA18,D3=Главная!AA21),6,0)</f>
        <v>0</v>
      </c>
      <c r="G28" s="7" t="e">
        <f t="shared" si="0"/>
        <v>#DIV/0!</v>
      </c>
    </row>
    <row r="29" spans="1:7" x14ac:dyDescent="0.25">
      <c r="A29" s="77"/>
      <c r="B29" s="48"/>
      <c r="C29" s="12" t="s">
        <v>86</v>
      </c>
      <c r="D29" s="14">
        <f>$D$2-3</f>
        <v>2019</v>
      </c>
      <c r="E29" s="22"/>
      <c r="G29" s="7"/>
    </row>
    <row r="30" spans="1:7" x14ac:dyDescent="0.25">
      <c r="A30" s="77"/>
      <c r="B30" s="48"/>
      <c r="C30" s="12" t="s">
        <v>87</v>
      </c>
      <c r="D30" s="14">
        <f t="shared" ref="D30:D34" si="2">$D$2-3</f>
        <v>2019</v>
      </c>
      <c r="E30" s="22"/>
      <c r="G30" s="7"/>
    </row>
    <row r="31" spans="1:7" x14ac:dyDescent="0.25">
      <c r="A31" s="77"/>
      <c r="B31" s="48"/>
      <c r="C31" s="12" t="s">
        <v>88</v>
      </c>
      <c r="D31" s="14">
        <f t="shared" si="2"/>
        <v>2019</v>
      </c>
      <c r="E31" s="22"/>
      <c r="G31" s="7"/>
    </row>
    <row r="32" spans="1:7" ht="39.75" customHeight="1" x14ac:dyDescent="0.25">
      <c r="A32" s="77"/>
      <c r="B32" s="48"/>
      <c r="C32" s="12" t="s">
        <v>89</v>
      </c>
      <c r="D32" s="14">
        <f t="shared" si="2"/>
        <v>2019</v>
      </c>
      <c r="E32" s="22"/>
      <c r="G32" s="7"/>
    </row>
    <row r="33" spans="1:7" x14ac:dyDescent="0.25">
      <c r="A33" s="77" t="s">
        <v>142</v>
      </c>
      <c r="B33" s="48"/>
      <c r="C33" s="12" t="s">
        <v>90</v>
      </c>
      <c r="D33" s="14">
        <f t="shared" si="2"/>
        <v>2019</v>
      </c>
      <c r="E33" s="22"/>
      <c r="G33" s="7"/>
    </row>
    <row r="34" spans="1:7" x14ac:dyDescent="0.25">
      <c r="A34" s="77"/>
      <c r="B34" s="48"/>
      <c r="C34" s="12" t="s">
        <v>91</v>
      </c>
      <c r="D34" s="14">
        <f t="shared" si="2"/>
        <v>2019</v>
      </c>
      <c r="E34" s="22"/>
      <c r="G34" s="7"/>
    </row>
    <row r="35" spans="1:7" x14ac:dyDescent="0.25">
      <c r="A35" s="77"/>
      <c r="B35" s="48"/>
      <c r="C35" s="12" t="s">
        <v>92</v>
      </c>
      <c r="D35" s="4">
        <f t="shared" ref="D35:D37" si="3">$D$2-2</f>
        <v>2020</v>
      </c>
      <c r="E35" s="22">
        <f>E19+E20</f>
        <v>215</v>
      </c>
      <c r="G35" s="7"/>
    </row>
    <row r="36" spans="1:7" x14ac:dyDescent="0.25">
      <c r="A36" s="77"/>
      <c r="B36" s="48"/>
      <c r="C36" s="12" t="s">
        <v>93</v>
      </c>
      <c r="D36" s="4">
        <f t="shared" si="3"/>
        <v>2020</v>
      </c>
      <c r="E36" s="22">
        <f>E22+E23</f>
        <v>0</v>
      </c>
      <c r="G36" s="7"/>
    </row>
    <row r="37" spans="1:7" x14ac:dyDescent="0.25">
      <c r="A37" s="77"/>
      <c r="B37" s="48"/>
      <c r="C37" s="12" t="s">
        <v>94</v>
      </c>
      <c r="D37" s="4">
        <f t="shared" si="3"/>
        <v>2020</v>
      </c>
      <c r="E37" s="22">
        <f>E25+E26</f>
        <v>0</v>
      </c>
      <c r="G37" s="7"/>
    </row>
    <row r="38" spans="1:7" x14ac:dyDescent="0.25">
      <c r="A38" s="78" t="s">
        <v>41</v>
      </c>
      <c r="B38" s="49" t="s">
        <v>36</v>
      </c>
      <c r="C38" s="13" t="s">
        <v>37</v>
      </c>
      <c r="D38" s="5"/>
      <c r="E38" s="1">
        <f>IF(((E39+E40*0.25+E41*0.1)/(E19+E22*0.25+E25*0.1))&gt;=0.5,1,IF((E39+E40*0.25+E41*0.1)/(E19+E22*0.25+E25*0.1)&lt;=0,0,((E39+E40*0.25+E41*0.1)/(E19+E22*0.25+E25*0.1)/0.5)))*F38</f>
        <v>8.3720930232558138E-2</v>
      </c>
      <c r="F38" s="11">
        <f>IF(OR(D3=Главная!AA14,D3=Главная!AA15,D3=Главная!AA17,D3=Главная!AA18,D3=Главная!AA21),6,9)</f>
        <v>9</v>
      </c>
      <c r="G38" s="7">
        <f t="shared" si="0"/>
        <v>9.3023255813953487E-3</v>
      </c>
    </row>
    <row r="39" spans="1:7" x14ac:dyDescent="0.25">
      <c r="A39" s="78"/>
      <c r="B39" s="50"/>
      <c r="C39" s="12" t="s">
        <v>38</v>
      </c>
      <c r="D39" s="4">
        <f t="shared" si="1"/>
        <v>2020</v>
      </c>
      <c r="E39" s="22">
        <v>1</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0</v>
      </c>
      <c r="G41" s="7"/>
    </row>
    <row r="42" spans="1:7" ht="15" customHeight="1" x14ac:dyDescent="0.25">
      <c r="A42" s="77" t="s">
        <v>145</v>
      </c>
      <c r="B42" s="76" t="s">
        <v>44</v>
      </c>
      <c r="C42" s="13" t="s">
        <v>43</v>
      </c>
      <c r="D42" s="5"/>
      <c r="E42" s="1" t="str">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f>
        <v/>
      </c>
      <c r="F42" s="2">
        <v>25</v>
      </c>
      <c r="G42" s="7" t="e">
        <f>E42/F42</f>
        <v>#VALUE!</v>
      </c>
    </row>
    <row r="43" spans="1:7" x14ac:dyDescent="0.25">
      <c r="A43" s="77"/>
      <c r="B43" s="76" t="s">
        <v>218</v>
      </c>
      <c r="C43" s="12" t="s">
        <v>46</v>
      </c>
      <c r="D43" s="4" t="str">
        <f>$D$2-4&amp;" "&amp;$D$2-5&amp;" "&amp;$D$2-6</f>
        <v>2018 2017 2016</v>
      </c>
      <c r="E43" s="22"/>
    </row>
    <row r="44" spans="1:7" x14ac:dyDescent="0.25">
      <c r="A44" s="77"/>
      <c r="B44" s="76"/>
      <c r="C44" s="12" t="s">
        <v>45</v>
      </c>
      <c r="D44" s="4" t="str">
        <f>$D$2-3&amp;" "&amp;$D$2-4&amp;" "&amp;$D$2-5</f>
        <v>2019 2018 2017</v>
      </c>
      <c r="E44" s="22"/>
    </row>
    <row r="45" spans="1:7" x14ac:dyDescent="0.25">
      <c r="A45" s="79" t="s">
        <v>219</v>
      </c>
      <c r="B45" s="49" t="s">
        <v>48</v>
      </c>
      <c r="C45" s="13" t="s">
        <v>47</v>
      </c>
      <c r="D45" s="5"/>
      <c r="E45" s="1">
        <f>IFERROR(IF(E47/E46*100&lt;=30,0,IF(E47/E46*100&gt;=60,1,(E47/E46*100-30)/30))*F45," ")</f>
        <v>5</v>
      </c>
      <c r="F45" s="46">
        <v>5</v>
      </c>
      <c r="G45" s="7">
        <f t="shared" ref="G45" si="4">E45/F45</f>
        <v>1</v>
      </c>
    </row>
    <row r="46" spans="1:7" x14ac:dyDescent="0.25">
      <c r="A46" s="79"/>
      <c r="B46" s="50"/>
      <c r="C46" s="12" t="s">
        <v>49</v>
      </c>
      <c r="D46" s="8">
        <f>$D$2-5</f>
        <v>2017</v>
      </c>
      <c r="E46" s="22">
        <v>53</v>
      </c>
    </row>
    <row r="47" spans="1:7" x14ac:dyDescent="0.25">
      <c r="A47" s="80"/>
      <c r="B47" s="50"/>
      <c r="C47" s="12" t="s">
        <v>50</v>
      </c>
      <c r="D47" s="4">
        <f t="shared" ref="D47" si="5">$D$2-2</f>
        <v>2020</v>
      </c>
      <c r="E47" s="29">
        <v>53</v>
      </c>
    </row>
    <row r="48" spans="1:7" s="56" customFormat="1" ht="15" customHeight="1" x14ac:dyDescent="0.25">
      <c r="A48" s="71" t="s">
        <v>224</v>
      </c>
      <c r="B48" s="72"/>
      <c r="C48" s="72"/>
      <c r="D48" s="72"/>
      <c r="E48" s="72"/>
      <c r="F48" s="72"/>
      <c r="G48" s="73"/>
    </row>
    <row r="49" spans="1:8" ht="15" customHeight="1" x14ac:dyDescent="0.25">
      <c r="A49" s="74" t="s">
        <v>59</v>
      </c>
      <c r="B49" s="59" t="s">
        <v>52</v>
      </c>
      <c r="C49" s="30" t="s">
        <v>53</v>
      </c>
      <c r="D49" s="31"/>
      <c r="E49" s="32">
        <f>IFERROR(IF((E56/(E50+E53)+E57/(E51+E54)+E58/(E52+E55))/3*100&lt;=5,0,IF((E56/(E50+E53)+E57/(E51+E54)+E58/(E52+E55))/3*100&gt;=100,1,((E56/(E50+E53)+E57/(E51+E54)+E58/(E52+E55))/3*100-5)/95))*F49,"")</f>
        <v>0</v>
      </c>
      <c r="F49" s="32">
        <f>IF(OR(Главная!AA13=D3,Главная!AA14=D3,Главная!AA15=D3,Главная!AA16=D3,Главная!AA23=D3),5,0)</f>
        <v>0</v>
      </c>
      <c r="G49" s="33" t="e">
        <f t="shared" ref="G49" si="6">E49/F49</f>
        <v>#DIV/0!</v>
      </c>
      <c r="H49" s="34"/>
    </row>
    <row r="50" spans="1:8" x14ac:dyDescent="0.25">
      <c r="A50" s="75"/>
      <c r="B50" s="55"/>
      <c r="C50" s="12" t="s">
        <v>54</v>
      </c>
      <c r="D50" s="8">
        <f>$D$2-5</f>
        <v>2017</v>
      </c>
      <c r="E50" s="22">
        <v>1051.2</v>
      </c>
    </row>
    <row r="51" spans="1:8" x14ac:dyDescent="0.25">
      <c r="A51" s="75"/>
      <c r="B51" s="55"/>
      <c r="C51" s="12" t="s">
        <v>54</v>
      </c>
      <c r="D51" s="8">
        <f>$D$2-4</f>
        <v>2018</v>
      </c>
      <c r="E51" s="22">
        <v>1047.5</v>
      </c>
    </row>
    <row r="52" spans="1:8" x14ac:dyDescent="0.25">
      <c r="A52" s="75"/>
      <c r="B52" s="55"/>
      <c r="C52" s="12" t="s">
        <v>54</v>
      </c>
      <c r="D52" s="8">
        <f>$D$2-3</f>
        <v>2019</v>
      </c>
      <c r="E52" s="22">
        <v>1059.5</v>
      </c>
    </row>
    <row r="53" spans="1:8" x14ac:dyDescent="0.25">
      <c r="A53" s="75"/>
      <c r="B53" s="55"/>
      <c r="C53" s="12" t="s">
        <v>55</v>
      </c>
      <c r="D53" s="8">
        <f>$D$2-5</f>
        <v>2017</v>
      </c>
      <c r="E53" s="22">
        <v>56.2</v>
      </c>
    </row>
    <row r="54" spans="1:8" x14ac:dyDescent="0.25">
      <c r="A54" s="75"/>
      <c r="B54" s="55"/>
      <c r="C54" s="12" t="s">
        <v>55</v>
      </c>
      <c r="D54" s="8">
        <f>$D$2-4</f>
        <v>2018</v>
      </c>
      <c r="E54" s="22">
        <v>54.6</v>
      </c>
    </row>
    <row r="55" spans="1:8" x14ac:dyDescent="0.25">
      <c r="A55" s="75"/>
      <c r="B55" s="55"/>
      <c r="C55" s="12" t="s">
        <v>55</v>
      </c>
      <c r="D55" s="8">
        <f>$D$2-3</f>
        <v>2019</v>
      </c>
      <c r="E55" s="22">
        <v>56.5</v>
      </c>
    </row>
    <row r="56" spans="1:8" x14ac:dyDescent="0.25">
      <c r="A56" s="75"/>
      <c r="B56" s="55"/>
      <c r="C56" s="12" t="s">
        <v>56</v>
      </c>
      <c r="D56" s="8">
        <f>$D$2-5</f>
        <v>2017</v>
      </c>
      <c r="E56" s="22">
        <v>380</v>
      </c>
    </row>
    <row r="57" spans="1:8" x14ac:dyDescent="0.25">
      <c r="A57" s="75"/>
      <c r="B57" s="55"/>
      <c r="C57" s="12" t="s">
        <v>56</v>
      </c>
      <c r="D57" s="8">
        <f>$D$2-4</f>
        <v>2018</v>
      </c>
      <c r="E57" s="22">
        <v>830</v>
      </c>
      <c r="F57" s="9"/>
    </row>
    <row r="58" spans="1:8" x14ac:dyDescent="0.25">
      <c r="A58" s="75"/>
      <c r="B58" s="55"/>
      <c r="C58" s="12" t="s">
        <v>56</v>
      </c>
      <c r="D58" s="8">
        <f>$D$2-3</f>
        <v>2019</v>
      </c>
      <c r="E58" s="22">
        <v>1149</v>
      </c>
      <c r="F58" s="9"/>
    </row>
    <row r="59" spans="1:8" x14ac:dyDescent="0.25">
      <c r="A59" s="82" t="s">
        <v>79</v>
      </c>
      <c r="B59" s="51" t="s">
        <v>58</v>
      </c>
      <c r="C59" s="13" t="s">
        <v>57</v>
      </c>
      <c r="D59" s="5"/>
      <c r="E59" s="1">
        <f>IFERROR(IF((E60/(E50+E53)+E61/(E51+E54)+E62/(E52+E55))/3&lt;=100,0,IF((E60/(E50+E53)+E61/(E51+E54)+E62/(E52+E55))/3&gt;=1000,1,((E60/(E50+E53)+E61/(E51+E54)+E62/(E52+E55))/3-100)/900))*F59," ")</f>
        <v>0</v>
      </c>
      <c r="F59" s="11">
        <f>IF(OR(Главная!AA17=D3,Главная!AA20=D3),7,IF(OR(Главная!AA13=D3,Главная!AA14=D3,Главная!AA15=D3,Главная!AA16=D3,Главная!AA23=D3),5,0))</f>
        <v>0</v>
      </c>
      <c r="G59" s="7" t="e">
        <f t="shared" ref="G59" si="7">E59/F59</f>
        <v>#DIV/0!</v>
      </c>
    </row>
    <row r="60" spans="1:8" x14ac:dyDescent="0.25">
      <c r="A60" s="82"/>
      <c r="B60" s="52"/>
      <c r="C60" s="12" t="s">
        <v>82</v>
      </c>
      <c r="D60" s="8">
        <f>$D$2-5</f>
        <v>2017</v>
      </c>
      <c r="E60" s="22">
        <v>265431.7</v>
      </c>
      <c r="F60" s="9"/>
    </row>
    <row r="61" spans="1:8" x14ac:dyDescent="0.25">
      <c r="A61" s="82"/>
      <c r="B61" s="52"/>
      <c r="C61" s="12" t="s">
        <v>82</v>
      </c>
      <c r="D61" s="8">
        <f>$D$2-4</f>
        <v>2018</v>
      </c>
      <c r="E61" s="22">
        <v>382808.6</v>
      </c>
      <c r="F61" s="9"/>
    </row>
    <row r="62" spans="1:8" x14ac:dyDescent="0.25">
      <c r="A62" s="82"/>
      <c r="B62" s="52"/>
      <c r="C62" s="12" t="s">
        <v>82</v>
      </c>
      <c r="D62" s="8">
        <f>$D$2-3</f>
        <v>2019</v>
      </c>
      <c r="E62" s="22">
        <v>619984.4</v>
      </c>
      <c r="F62" s="9"/>
    </row>
    <row r="63" spans="1:8" x14ac:dyDescent="0.25">
      <c r="A63" s="83" t="s">
        <v>78</v>
      </c>
      <c r="B63" s="2" t="s">
        <v>61</v>
      </c>
      <c r="C63" s="13" t="s">
        <v>60</v>
      </c>
      <c r="D63" s="5"/>
      <c r="E63" s="1">
        <f>IF((E67+0.25*E68+0.1*E69)/(E64+E65*0.25+E66*0.1)*100&gt;=15,1,IF((E67+0.25*E68+0.1*E69)/(E64+E65*0.25+E66*0.1)*100&lt;=1,0,((E67+0.25*E68+0.1*E69)/(E64+E65*0.25+E66*0.1)*100-1)/14))*F63</f>
        <v>4.088146661436717</v>
      </c>
      <c r="F63" s="11">
        <f>IF(OR(Главная!AA17=D3,Главная!AA20=D3,Главная!AA18=D3),6,IF(OR(Главная!AA13=D3,Главная!AA14=D3,Главная!AA15=D3,Главная!AA16=D3,Главная!AA23=D3),5,10))</f>
        <v>10</v>
      </c>
      <c r="G63" s="7">
        <f t="shared" ref="G63:G93" si="8">E63/F63</f>
        <v>0.40881466614367168</v>
      </c>
    </row>
    <row r="64" spans="1:8"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9.6209638756671652</v>
      </c>
      <c r="F70" s="11">
        <f>IF(OR(Главная!AA17=D3,Главная!AA20=D3,Главная!AA18=D3),7,IF(OR(Главная!AA13=D3,Главная!AA14=D3,Главная!AA15=D3,Главная!AA16=D3,Главная!AA23=D3),5,10))</f>
        <v>10</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SUM(E7,E9,E12,E15,E18,E38,E42,E45,E49,E59,E63,E70,E28,E89:E93)*(IF(1+0.5*((E84+E85*0.25+E86*0.1)/(E19+E22*0.25+E25*0.1)-0.2)/0.8&lt;1,1,1+0.5*((E84+E85*0.25+E86*0.1)/(E19+E22*0.25+E25*0.1)-0.2)/0.8))</f>
        <v>63.916331467336441</v>
      </c>
      <c r="F83">
        <v>100</v>
      </c>
      <c r="G83" s="7">
        <f t="shared" si="8"/>
        <v>0.6391633146733644</v>
      </c>
    </row>
    <row r="84" spans="1:7" x14ac:dyDescent="0.25">
      <c r="A84" s="85"/>
      <c r="B84" s="54"/>
      <c r="C84" s="12" t="s">
        <v>72</v>
      </c>
      <c r="D84" s="4">
        <f t="shared" ref="D84:D86" si="10">$D$2-2</f>
        <v>2020</v>
      </c>
      <c r="E84" s="22">
        <v>2</v>
      </c>
      <c r="G84" s="7"/>
    </row>
    <row r="85" spans="1:7" x14ac:dyDescent="0.25">
      <c r="A85" s="85"/>
      <c r="B85" s="54"/>
      <c r="C85" s="12" t="s">
        <v>73</v>
      </c>
      <c r="D85" s="4">
        <f t="shared" si="10"/>
        <v>2020</v>
      </c>
      <c r="E85" s="22">
        <v>0</v>
      </c>
      <c r="G85" s="7"/>
    </row>
    <row r="86" spans="1:7" x14ac:dyDescent="0.25">
      <c r="A86" s="85"/>
      <c r="B86" s="54"/>
      <c r="C86" s="12" t="s">
        <v>74</v>
      </c>
      <c r="D86" s="4">
        <f t="shared" si="10"/>
        <v>2020</v>
      </c>
      <c r="E86" s="22">
        <v>0</v>
      </c>
      <c r="G86" s="7"/>
    </row>
    <row r="87" spans="1:7" x14ac:dyDescent="0.25">
      <c r="G87" s="7"/>
    </row>
    <row r="88" spans="1:7" x14ac:dyDescent="0.25">
      <c r="A88" s="9"/>
      <c r="B88" s="11" t="s">
        <v>96</v>
      </c>
      <c r="C88" s="86" t="s">
        <v>97</v>
      </c>
      <c r="D88" s="86"/>
      <c r="E88" s="86"/>
      <c r="F88" s="11"/>
      <c r="G88" s="7"/>
    </row>
    <row r="89" spans="1:7" x14ac:dyDescent="0.25">
      <c r="A89" s="9"/>
      <c r="B89" s="9"/>
      <c r="C89" s="64" t="s">
        <v>43</v>
      </c>
      <c r="D89" s="27"/>
      <c r="E89" s="24">
        <v>25</v>
      </c>
      <c r="F89" s="23">
        <v>25</v>
      </c>
      <c r="G89" s="7">
        <f t="shared" si="8"/>
        <v>1</v>
      </c>
    </row>
    <row r="90" spans="1:7" x14ac:dyDescent="0.25">
      <c r="A90" s="9"/>
      <c r="B90" s="9"/>
      <c r="C90" s="28"/>
      <c r="D90" s="27"/>
      <c r="E90" s="25"/>
      <c r="F90" s="23"/>
      <c r="G90" s="7" t="e">
        <f t="shared" si="8"/>
        <v>#DIV/0!</v>
      </c>
    </row>
    <row r="91" spans="1:7" x14ac:dyDescent="0.25">
      <c r="A91" s="9"/>
      <c r="B91" s="9"/>
      <c r="C91" s="28"/>
      <c r="D91" s="27"/>
      <c r="E91" s="25"/>
      <c r="F91" s="23"/>
      <c r="G91" s="7" t="e">
        <f t="shared" si="8"/>
        <v>#DIV/0!</v>
      </c>
    </row>
    <row r="92" spans="1:7" x14ac:dyDescent="0.25">
      <c r="A92" s="9"/>
      <c r="B92" s="9"/>
      <c r="C92" s="28"/>
      <c r="D92" s="27"/>
      <c r="E92" s="25"/>
      <c r="F92" s="23"/>
      <c r="G92" s="7" t="e">
        <f t="shared" si="8"/>
        <v>#DIV/0!</v>
      </c>
    </row>
    <row r="93" spans="1:7" x14ac:dyDescent="0.25">
      <c r="A93" s="9"/>
      <c r="B93" s="9"/>
      <c r="C93" s="28"/>
      <c r="D93" s="27"/>
      <c r="E93" s="25"/>
      <c r="F93" s="23"/>
      <c r="G93" s="7" t="e">
        <f t="shared" si="8"/>
        <v>#DIV/0!</v>
      </c>
    </row>
    <row r="94" spans="1:7" x14ac:dyDescent="0.25">
      <c r="A94" s="9"/>
      <c r="B94" s="9"/>
      <c r="C94" s="16"/>
      <c r="D94" s="17"/>
      <c r="E94" s="9"/>
      <c r="F94" s="9"/>
      <c r="G94" s="9"/>
    </row>
    <row r="95" spans="1:7" x14ac:dyDescent="0.25">
      <c r="B95" s="9"/>
      <c r="C95" s="16"/>
      <c r="D95" s="15"/>
      <c r="E95" s="9"/>
      <c r="F95" s="9"/>
      <c r="G95" s="9"/>
    </row>
    <row r="96" spans="1:7" x14ac:dyDescent="0.25">
      <c r="B96" s="9"/>
      <c r="C96" s="16"/>
      <c r="D96" s="15"/>
      <c r="E96" s="9"/>
      <c r="F96" s="9"/>
      <c r="G96" s="9"/>
    </row>
    <row r="97" spans="2:7" x14ac:dyDescent="0.25">
      <c r="B97" s="9"/>
      <c r="C97" s="16"/>
      <c r="D97" s="15"/>
      <c r="E97" s="9"/>
      <c r="F97" s="9"/>
      <c r="G97" s="9"/>
    </row>
  </sheetData>
  <mergeCells count="18">
    <mergeCell ref="C88:E88"/>
    <mergeCell ref="A33:A37"/>
    <mergeCell ref="A38:A41"/>
    <mergeCell ref="A42:A44"/>
    <mergeCell ref="B42:B44"/>
    <mergeCell ref="A45:A47"/>
    <mergeCell ref="A48:G48"/>
    <mergeCell ref="A49:A58"/>
    <mergeCell ref="A59:A62"/>
    <mergeCell ref="A63:A69"/>
    <mergeCell ref="A70:A82"/>
    <mergeCell ref="A83:A86"/>
    <mergeCell ref="A28:A32"/>
    <mergeCell ref="A7:A8"/>
    <mergeCell ref="A9:A11"/>
    <mergeCell ref="A12:A14"/>
    <mergeCell ref="A15:A17"/>
    <mergeCell ref="A18:A27"/>
  </mergeCells>
  <conditionalFormatting sqref="G1:G47 G49:G1048576">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Главная!$AA$13:$AA$23</xm:f>
          </x14:formula1>
          <xm:sqref>D3</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3">
    <tabColor rgb="FF00B050"/>
  </sheetPr>
  <dimension ref="A2:G86"/>
  <sheetViews>
    <sheetView workbookViewId="0">
      <selection activeCell="H38" sqref="H38"/>
    </sheetView>
  </sheetViews>
  <sheetFormatPr defaultRowHeight="15" x14ac:dyDescent="0.25"/>
  <cols>
    <col min="1" max="1" width="59.5703125" customWidth="1"/>
    <col min="2" max="2" width="9" customWidth="1"/>
    <col min="3" max="3" width="50.42578125" customWidth="1"/>
    <col min="4" max="4" width="37.7109375" customWidth="1"/>
    <col min="5" max="7" width="17.42578125" customWidth="1"/>
  </cols>
  <sheetData>
    <row r="2" spans="1:7" x14ac:dyDescent="0.25">
      <c r="A2" s="1" t="s">
        <v>80</v>
      </c>
      <c r="C2" s="12" t="s">
        <v>24</v>
      </c>
      <c r="D2" s="43">
        <v>2022</v>
      </c>
    </row>
    <row r="3" spans="1:7" x14ac:dyDescent="0.25">
      <c r="A3" t="s">
        <v>81</v>
      </c>
      <c r="C3" s="12" t="s">
        <v>191</v>
      </c>
      <c r="D3" s="58" t="s">
        <v>241</v>
      </c>
      <c r="E3" s="57" t="s">
        <v>220</v>
      </c>
    </row>
    <row r="4" spans="1:7" x14ac:dyDescent="0.25">
      <c r="C4" s="12" t="s">
        <v>75</v>
      </c>
      <c r="D4" s="10">
        <f>E83</f>
        <v>13.709110537103882</v>
      </c>
    </row>
    <row r="5" spans="1:7" x14ac:dyDescent="0.25">
      <c r="C5" s="12"/>
      <c r="D5" s="4"/>
    </row>
    <row r="6" spans="1:7" x14ac:dyDescent="0.25">
      <c r="A6" t="s">
        <v>7</v>
      </c>
      <c r="C6" s="12" t="s">
        <v>25</v>
      </c>
      <c r="D6" s="4" t="s">
        <v>21</v>
      </c>
      <c r="F6" t="s">
        <v>20</v>
      </c>
      <c r="G6" t="s">
        <v>42</v>
      </c>
    </row>
    <row r="7" spans="1:7" x14ac:dyDescent="0.25">
      <c r="A7" s="79" t="s">
        <v>9</v>
      </c>
      <c r="B7" s="49" t="s">
        <v>0</v>
      </c>
      <c r="C7" s="13" t="s">
        <v>1</v>
      </c>
      <c r="D7" s="5"/>
      <c r="E7" s="1">
        <f>IF(E8&gt;=100,1,IF(E8&lt;=40,0,(E8-40)/60))*F7</f>
        <v>0</v>
      </c>
      <c r="F7" s="2">
        <v>23</v>
      </c>
      <c r="G7" s="7">
        <f>E7/F7</f>
        <v>0</v>
      </c>
    </row>
    <row r="8" spans="1:7" x14ac:dyDescent="0.25">
      <c r="A8" s="79"/>
      <c r="B8" s="50"/>
      <c r="C8" s="12" t="s">
        <v>4</v>
      </c>
      <c r="D8" s="4">
        <f>$D$2-2</f>
        <v>2020</v>
      </c>
      <c r="E8" s="22"/>
      <c r="G8" s="7"/>
    </row>
    <row r="9" spans="1:7" x14ac:dyDescent="0.25">
      <c r="A9" s="81" t="s">
        <v>10</v>
      </c>
      <c r="B9" s="47" t="s">
        <v>3</v>
      </c>
      <c r="C9" s="13" t="s">
        <v>2</v>
      </c>
      <c r="D9" s="5"/>
      <c r="E9" s="1">
        <f>IFERROR(IF(E10/E11*100&gt;=100,1,IF(E10/E11*100&lt;=80,0,((E10/E11*100)-80)/20))*F9,0)</f>
        <v>0</v>
      </c>
      <c r="F9" s="46">
        <v>3</v>
      </c>
      <c r="G9" s="7">
        <f t="shared" ref="G9:G38" si="0">E9/F9</f>
        <v>0</v>
      </c>
    </row>
    <row r="10" spans="1:7" x14ac:dyDescent="0.25">
      <c r="A10" s="81"/>
      <c r="B10" s="48"/>
      <c r="C10" s="12" t="s">
        <v>23</v>
      </c>
      <c r="D10" s="4" t="str">
        <f>$D$2-2&amp;" "&amp;$D$2-3&amp;" "&amp;$D$2-4</f>
        <v>2020 2019 2018</v>
      </c>
      <c r="E10" s="22">
        <v>0</v>
      </c>
      <c r="G10" s="7"/>
    </row>
    <row r="11" spans="1:7" x14ac:dyDescent="0.25">
      <c r="A11" s="81"/>
      <c r="B11" s="48"/>
      <c r="C11" s="12" t="s">
        <v>22</v>
      </c>
      <c r="D11" s="4" t="str">
        <f>$D$2-2&amp;" "&amp;$D$2-3&amp;" "&amp;$D$2-4</f>
        <v>2020 2019 2018</v>
      </c>
      <c r="E11" s="22">
        <v>0</v>
      </c>
      <c r="G11" s="7"/>
    </row>
    <row r="12" spans="1:7" x14ac:dyDescent="0.25">
      <c r="A12" s="79" t="s">
        <v>8</v>
      </c>
      <c r="B12" s="49" t="s">
        <v>6</v>
      </c>
      <c r="C12" s="13" t="s">
        <v>5</v>
      </c>
      <c r="D12" s="5"/>
      <c r="E12" s="1">
        <f>IFERROR(IF(E14/E13&gt;=0.5,1,IF(E14/E13&lt;=0,0,(E14/E13/0.5)))*F12,0)</f>
        <v>0</v>
      </c>
      <c r="F12" s="46">
        <v>4</v>
      </c>
      <c r="G12" s="7">
        <f t="shared" si="0"/>
        <v>0</v>
      </c>
    </row>
    <row r="13" spans="1:7" x14ac:dyDescent="0.25">
      <c r="A13" s="79"/>
      <c r="B13" s="50"/>
      <c r="C13" s="12" t="s">
        <v>11</v>
      </c>
      <c r="D13" s="4">
        <f>$D$2-2</f>
        <v>2020</v>
      </c>
      <c r="E13" s="22">
        <v>0</v>
      </c>
      <c r="G13" s="7"/>
    </row>
    <row r="14" spans="1:7" x14ac:dyDescent="0.25">
      <c r="A14" s="79"/>
      <c r="B14" s="50"/>
      <c r="C14" s="12" t="s">
        <v>12</v>
      </c>
      <c r="D14" s="4">
        <f>$D$2-2</f>
        <v>2020</v>
      </c>
      <c r="E14" s="22">
        <v>0</v>
      </c>
      <c r="G14" s="7"/>
    </row>
    <row r="15" spans="1:7" x14ac:dyDescent="0.25">
      <c r="A15" s="81" t="s">
        <v>17</v>
      </c>
      <c r="B15" s="47" t="s">
        <v>13</v>
      </c>
      <c r="C15" s="13" t="s">
        <v>14</v>
      </c>
      <c r="D15" s="5"/>
      <c r="E15" s="1">
        <f>IFERROR(IF(E16/E17&gt;=1,1,IF(E16/E17&lt;=0,0,(E16/E17)))*F15,0)</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0</v>
      </c>
      <c r="G17" s="7"/>
    </row>
    <row r="18" spans="1:7" x14ac:dyDescent="0.25">
      <c r="A18" s="79" t="s">
        <v>217</v>
      </c>
      <c r="B18" s="49" t="s">
        <v>19</v>
      </c>
      <c r="C18" s="13" t="s">
        <v>18</v>
      </c>
      <c r="D18" s="5"/>
      <c r="E18" s="1">
        <f>IF(SUM(E19:E27)=0,0,IFERROR(IF(IF(E19+E22*0.25+E25*0.1&lt;=0,0,(((E20+0.25*E23+0.1*E26)+3*(E21+0.25*E24+0.1*E27))/(E19+E22*0.25+E25*0.1)))&gt;=0.25,1,IF(IF(E19+E22*0.25+E25*0.1&lt;=0,1,(((E20+0.25*E23+0.1*E26)+3*(E21+0.25*E24+0.1*E27))/(E19+E22*0.25+E25*0.1)))&lt;=0,0,IF(E19+E22*0.25+E25*0.1&lt;=0,1,(((E20+0.25*E23+0.1*E26)+3*(E21+0.25*E24+0.1*E27))/(E19+E22*0.25+E25*0.1))/0.25)))*F18,""))</f>
        <v>0</v>
      </c>
      <c r="F18" s="11">
        <v>9</v>
      </c>
      <c r="G18" s="7">
        <f t="shared" si="0"/>
        <v>0</v>
      </c>
    </row>
    <row r="19" spans="1:7" x14ac:dyDescent="0.25">
      <c r="A19" s="79"/>
      <c r="B19" s="50"/>
      <c r="C19" s="12" t="s">
        <v>26</v>
      </c>
      <c r="D19" s="4">
        <f t="shared" ref="D19:D41" si="1">$D$2-2</f>
        <v>2020</v>
      </c>
      <c r="E19" s="22">
        <v>0</v>
      </c>
      <c r="G19" s="7"/>
    </row>
    <row r="20" spans="1:7" x14ac:dyDescent="0.25">
      <c r="A20" s="79"/>
      <c r="B20" s="50"/>
      <c r="C20" s="12" t="s">
        <v>27</v>
      </c>
      <c r="D20" s="4">
        <f t="shared" si="1"/>
        <v>2020</v>
      </c>
      <c r="E20" s="22">
        <v>0</v>
      </c>
      <c r="G20" s="7"/>
    </row>
    <row r="21" spans="1:7" x14ac:dyDescent="0.25">
      <c r="A21" s="79"/>
      <c r="B21" s="50"/>
      <c r="C21" s="12" t="s">
        <v>28</v>
      </c>
      <c r="D21" s="4">
        <f t="shared" si="1"/>
        <v>2020</v>
      </c>
      <c r="E21" s="22">
        <v>0</v>
      </c>
      <c r="G21" s="7"/>
    </row>
    <row r="22" spans="1:7" x14ac:dyDescent="0.25">
      <c r="A22" s="79"/>
      <c r="B22" s="50"/>
      <c r="C22" s="12" t="s">
        <v>29</v>
      </c>
      <c r="D22" s="4">
        <f t="shared" si="1"/>
        <v>2020</v>
      </c>
      <c r="E22" s="22">
        <v>0</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0</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0</v>
      </c>
      <c r="G27" s="7"/>
    </row>
    <row r="28" spans="1:7" hidden="1" x14ac:dyDescent="0.25">
      <c r="A28" s="77" t="s">
        <v>143</v>
      </c>
      <c r="B28" s="47" t="s">
        <v>85</v>
      </c>
      <c r="C28" s="13" t="s">
        <v>84</v>
      </c>
      <c r="D28" s="4"/>
      <c r="E28" s="11">
        <f>IFERROR(IF(IF(AND(E35+0.25*E36+0.1*E37=0,0.25*(E29+0.25*E30+0.1*E31)+(E32+0.25*E33+0.1*E34)&gt;0),1,(0.25*(E29+0.25*E30+0.1*E31)+(E32+0.25*E33+0.1*E34))/(E35+0.25*E36+0.1*E37))&gt;=0.2,1,IF(IF(E35+0.25*E36+0.1*E37=0,1,(0.25*(E29+0.25*E30+0.1*E31)+(E32+0.25*E33+0.1*E34))/(E35+0.25*E36+0.1*E37))&lt;=0,0,IF(E35+0.25*E36+0.1*E37=0,1,(0.25*(E29+0.25*E30+0.1*E31)+(E32+0.25*E33+0.1*E34))/(E35+0.25*E36+0.1*E37)/0.2)))*F28,0)</f>
        <v>0</v>
      </c>
      <c r="F28" s="1">
        <v>0</v>
      </c>
      <c r="G28" s="7" t="e">
        <f t="shared" si="0"/>
        <v>#DIV/0!</v>
      </c>
    </row>
    <row r="29" spans="1:7" hidden="1" x14ac:dyDescent="0.25">
      <c r="A29" s="77"/>
      <c r="B29" s="48"/>
      <c r="C29" s="12" t="s">
        <v>86</v>
      </c>
      <c r="D29" s="14">
        <f>$D$2-3</f>
        <v>2019</v>
      </c>
      <c r="E29" s="22"/>
      <c r="G29" s="7"/>
    </row>
    <row r="30" spans="1:7" hidden="1" x14ac:dyDescent="0.25">
      <c r="A30" s="77"/>
      <c r="B30" s="48"/>
      <c r="C30" s="12" t="s">
        <v>87</v>
      </c>
      <c r="D30" s="14">
        <f t="shared" ref="D30:D34" si="2">$D$2-3</f>
        <v>2019</v>
      </c>
      <c r="E30" s="22"/>
      <c r="G30" s="7"/>
    </row>
    <row r="31" spans="1:7" hidden="1" x14ac:dyDescent="0.25">
      <c r="A31" s="77"/>
      <c r="B31" s="48"/>
      <c r="C31" s="12" t="s">
        <v>88</v>
      </c>
      <c r="D31" s="14">
        <f t="shared" si="2"/>
        <v>2019</v>
      </c>
      <c r="E31" s="22"/>
      <c r="G31" s="7"/>
    </row>
    <row r="32" spans="1:7" hidden="1" x14ac:dyDescent="0.25">
      <c r="A32" s="77"/>
      <c r="B32" s="48"/>
      <c r="C32" s="12" t="s">
        <v>89</v>
      </c>
      <c r="D32" s="14">
        <f t="shared" si="2"/>
        <v>2019</v>
      </c>
      <c r="E32" s="22"/>
      <c r="G32" s="7"/>
    </row>
    <row r="33" spans="1:7" hidden="1" x14ac:dyDescent="0.25">
      <c r="A33" s="77" t="s">
        <v>142</v>
      </c>
      <c r="B33" s="48"/>
      <c r="C33" s="12" t="s">
        <v>90</v>
      </c>
      <c r="D33" s="14">
        <f t="shared" si="2"/>
        <v>2019</v>
      </c>
      <c r="E33" s="22"/>
      <c r="G33" s="7"/>
    </row>
    <row r="34" spans="1:7" hidden="1" x14ac:dyDescent="0.25">
      <c r="A34" s="77"/>
      <c r="B34" s="48"/>
      <c r="C34" s="12" t="s">
        <v>91</v>
      </c>
      <c r="D34" s="14">
        <f t="shared" si="2"/>
        <v>2019</v>
      </c>
      <c r="E34" s="22"/>
      <c r="G34" s="7"/>
    </row>
    <row r="35" spans="1:7" hidden="1" x14ac:dyDescent="0.25">
      <c r="A35" s="77"/>
      <c r="B35" s="48"/>
      <c r="C35" s="12" t="s">
        <v>92</v>
      </c>
      <c r="D35" s="4">
        <f t="shared" ref="D35:D37" si="3">$D$2-2</f>
        <v>2020</v>
      </c>
      <c r="E35" s="22">
        <f>E19+E20</f>
        <v>0</v>
      </c>
      <c r="G35" s="7"/>
    </row>
    <row r="36" spans="1:7" hidden="1" x14ac:dyDescent="0.25">
      <c r="A36" s="77"/>
      <c r="B36" s="48"/>
      <c r="C36" s="12" t="s">
        <v>93</v>
      </c>
      <c r="D36" s="4">
        <f t="shared" si="3"/>
        <v>2020</v>
      </c>
      <c r="E36" s="22">
        <f>E22+E23</f>
        <v>0</v>
      </c>
      <c r="G36" s="7"/>
    </row>
    <row r="37" spans="1:7" hidden="1" x14ac:dyDescent="0.25">
      <c r="A37" s="77"/>
      <c r="B37" s="48"/>
      <c r="C37" s="12" t="s">
        <v>94</v>
      </c>
      <c r="D37" s="4">
        <f t="shared" si="3"/>
        <v>2020</v>
      </c>
      <c r="E37" s="22">
        <f>E25+E26</f>
        <v>0</v>
      </c>
      <c r="G37" s="7"/>
    </row>
    <row r="38" spans="1:7" x14ac:dyDescent="0.25">
      <c r="A38" s="78" t="s">
        <v>41</v>
      </c>
      <c r="B38" s="49" t="s">
        <v>36</v>
      </c>
      <c r="C38" s="13" t="s">
        <v>37</v>
      </c>
      <c r="D38" s="5"/>
      <c r="E38" s="1">
        <f>IFERROR(IF(((E39+E40*0.25+E41*0.1)/(E19+E22*0.25+E25*0.1))&gt;=0.5,1,IF((E39+E40*0.25+E41*0.1)/(E19+E22*0.25+E25*0.1)&lt;=0,0,((E39+E40*0.25+E41*0.1)/(E19+E22*0.25+E25*0.1)/0.5)))*F38,0)</f>
        <v>0</v>
      </c>
      <c r="F38" s="11">
        <v>9</v>
      </c>
      <c r="G38" s="7">
        <f t="shared" si="0"/>
        <v>0</v>
      </c>
    </row>
    <row r="39" spans="1:7" x14ac:dyDescent="0.25">
      <c r="A39" s="78"/>
      <c r="B39" s="50"/>
      <c r="C39" s="12" t="s">
        <v>38</v>
      </c>
      <c r="D39" s="4">
        <f t="shared" si="1"/>
        <v>2020</v>
      </c>
      <c r="E39" s="22">
        <v>0</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0</v>
      </c>
      <c r="G41" s="7"/>
    </row>
    <row r="42" spans="1:7" x14ac:dyDescent="0.25">
      <c r="A42" s="77" t="s">
        <v>145</v>
      </c>
      <c r="B42" s="76" t="s">
        <v>44</v>
      </c>
      <c r="C42" s="13" t="s">
        <v>43</v>
      </c>
      <c r="D42" s="5"/>
      <c r="E42" s="1">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Методики",IF(E44/E43*100&lt;=30,0,IF(E44/E43*100&gt;=85,1,(E44/E43*100-30)/55)))*F42,0)</f>
        <v>0</v>
      </c>
      <c r="F42" s="2">
        <v>25</v>
      </c>
      <c r="G42" s="7">
        <f>E42/F42</f>
        <v>0</v>
      </c>
    </row>
    <row r="43" spans="1:7" x14ac:dyDescent="0.25">
      <c r="A43" s="77"/>
      <c r="B43" s="76" t="s">
        <v>218</v>
      </c>
      <c r="C43" s="12" t="s">
        <v>46</v>
      </c>
      <c r="D43" s="4" t="str">
        <f>$D$2-4&amp;" "&amp;$D$2-5&amp;" "&amp;$D$2-6</f>
        <v>2018 2017 2016</v>
      </c>
      <c r="E43" s="22">
        <v>0</v>
      </c>
    </row>
    <row r="44" spans="1:7" x14ac:dyDescent="0.25">
      <c r="A44" s="77"/>
      <c r="B44" s="76"/>
      <c r="C44" s="12" t="s">
        <v>45</v>
      </c>
      <c r="D44" s="4" t="str">
        <f>$D$2-3&amp;" "&amp;$D$2-4&amp;" "&amp;$D$2-5</f>
        <v>2019 2018 2017</v>
      </c>
      <c r="E44" s="22">
        <v>0</v>
      </c>
    </row>
    <row r="45" spans="1:7" x14ac:dyDescent="0.25">
      <c r="A45" s="79" t="s">
        <v>219</v>
      </c>
      <c r="B45" s="49" t="s">
        <v>48</v>
      </c>
      <c r="C45" s="13" t="s">
        <v>47</v>
      </c>
      <c r="D45" s="5"/>
      <c r="E45" s="1">
        <f>IFERROR(IF(E47/E46*100&lt;=30,0,IF(E47/E46*100&gt;=60,1,(E47/E46*100-30)/30))*F45,0)</f>
        <v>0</v>
      </c>
      <c r="F45" s="46">
        <v>5</v>
      </c>
      <c r="G45" s="7">
        <f t="shared" ref="G45" si="4">E45/F45</f>
        <v>0</v>
      </c>
    </row>
    <row r="46" spans="1:7" x14ac:dyDescent="0.25">
      <c r="A46" s="79"/>
      <c r="B46" s="50"/>
      <c r="C46" s="12" t="s">
        <v>49</v>
      </c>
      <c r="D46" s="8">
        <f>$D$2-5</f>
        <v>2017</v>
      </c>
      <c r="E46" s="22">
        <v>0</v>
      </c>
    </row>
    <row r="47" spans="1:7" x14ac:dyDescent="0.25">
      <c r="A47" s="80"/>
      <c r="B47" s="50"/>
      <c r="C47" s="12" t="s">
        <v>50</v>
      </c>
      <c r="D47" s="4">
        <f t="shared" ref="D47" si="5">$D$2-2</f>
        <v>2020</v>
      </c>
      <c r="E47" s="29">
        <v>0</v>
      </c>
    </row>
    <row r="48" spans="1:7" x14ac:dyDescent="0.25">
      <c r="A48" s="71" t="s">
        <v>224</v>
      </c>
      <c r="B48" s="72"/>
      <c r="C48" s="72"/>
      <c r="D48" s="72"/>
      <c r="E48" s="72"/>
      <c r="F48" s="72"/>
      <c r="G48" s="73"/>
    </row>
    <row r="49" spans="1:7" hidden="1" x14ac:dyDescent="0.25">
      <c r="A49" s="74" t="s">
        <v>59</v>
      </c>
      <c r="B49" s="59" t="s">
        <v>52</v>
      </c>
      <c r="C49" s="30" t="s">
        <v>53</v>
      </c>
      <c r="D49" s="31"/>
      <c r="E49" s="32">
        <f>IFERROR(IF((E56/(E50+E53)+E57/(E51+E54)+E58/(E52+E55))/3*100&lt;=5,0,IF((E56/(E50+E53)+E57/(E51+E54)+E58/(E52+E55))/3*100&gt;=100,1,((E56/(E50+E53)+E57/(E51+E54)+E58/(E52+E55))/3*100-5)/95))*F49,"")</f>
        <v>0</v>
      </c>
      <c r="F49" s="32">
        <v>0</v>
      </c>
      <c r="G49" s="33" t="e">
        <f t="shared" ref="G49" si="6">E49/F49</f>
        <v>#DIV/0!</v>
      </c>
    </row>
    <row r="50" spans="1:7" hidden="1" x14ac:dyDescent="0.25">
      <c r="A50" s="75"/>
      <c r="B50" s="55"/>
      <c r="C50" s="12" t="s">
        <v>54</v>
      </c>
      <c r="D50" s="8">
        <f>$D$2-5</f>
        <v>2017</v>
      </c>
      <c r="E50" s="22">
        <v>1051.2</v>
      </c>
    </row>
    <row r="51" spans="1:7" hidden="1" x14ac:dyDescent="0.25">
      <c r="A51" s="75"/>
      <c r="B51" s="55"/>
      <c r="C51" s="12" t="s">
        <v>54</v>
      </c>
      <c r="D51" s="8">
        <f>$D$2-4</f>
        <v>2018</v>
      </c>
      <c r="E51" s="22">
        <v>1047.5</v>
      </c>
    </row>
    <row r="52" spans="1:7" hidden="1" x14ac:dyDescent="0.25">
      <c r="A52" s="75"/>
      <c r="B52" s="55"/>
      <c r="C52" s="12" t="s">
        <v>54</v>
      </c>
      <c r="D52" s="8">
        <f>$D$2-3</f>
        <v>2019</v>
      </c>
      <c r="E52" s="22">
        <v>1059.5</v>
      </c>
    </row>
    <row r="53" spans="1:7" hidden="1" x14ac:dyDescent="0.25">
      <c r="A53" s="75"/>
      <c r="B53" s="55"/>
      <c r="C53" s="12" t="s">
        <v>55</v>
      </c>
      <c r="D53" s="8">
        <f>$D$2-5</f>
        <v>2017</v>
      </c>
      <c r="E53" s="22">
        <v>56.2</v>
      </c>
    </row>
    <row r="54" spans="1:7" hidden="1" x14ac:dyDescent="0.25">
      <c r="A54" s="75"/>
      <c r="B54" s="55"/>
      <c r="C54" s="12" t="s">
        <v>55</v>
      </c>
      <c r="D54" s="8">
        <f>$D$2-4</f>
        <v>2018</v>
      </c>
      <c r="E54" s="22">
        <v>54.6</v>
      </c>
    </row>
    <row r="55" spans="1:7" hidden="1" x14ac:dyDescent="0.25">
      <c r="A55" s="75"/>
      <c r="B55" s="55"/>
      <c r="C55" s="12" t="s">
        <v>55</v>
      </c>
      <c r="D55" s="8">
        <f>$D$2-3</f>
        <v>2019</v>
      </c>
      <c r="E55" s="22">
        <v>56.5</v>
      </c>
    </row>
    <row r="56" spans="1:7" hidden="1" x14ac:dyDescent="0.25">
      <c r="A56" s="75"/>
      <c r="B56" s="55"/>
      <c r="C56" s="12" t="s">
        <v>56</v>
      </c>
      <c r="D56" s="8">
        <f>$D$2-5</f>
        <v>2017</v>
      </c>
      <c r="E56" s="22">
        <v>380</v>
      </c>
    </row>
    <row r="57" spans="1:7" hidden="1" x14ac:dyDescent="0.25">
      <c r="A57" s="75"/>
      <c r="B57" s="55"/>
      <c r="C57" s="12" t="s">
        <v>56</v>
      </c>
      <c r="D57" s="8">
        <f>$D$2-4</f>
        <v>2018</v>
      </c>
      <c r="E57" s="22">
        <v>830</v>
      </c>
      <c r="F57" s="9"/>
    </row>
    <row r="58" spans="1:7" hidden="1" x14ac:dyDescent="0.25">
      <c r="A58" s="75"/>
      <c r="B58" s="55"/>
      <c r="C58" s="12" t="s">
        <v>56</v>
      </c>
      <c r="D58" s="8">
        <f>$D$2-3</f>
        <v>2019</v>
      </c>
      <c r="E58" s="22">
        <v>1149</v>
      </c>
      <c r="F58" s="9"/>
    </row>
    <row r="59" spans="1:7" hidden="1" x14ac:dyDescent="0.25">
      <c r="A59" s="82" t="s">
        <v>79</v>
      </c>
      <c r="B59" s="51" t="s">
        <v>58</v>
      </c>
      <c r="C59" s="13" t="s">
        <v>57</v>
      </c>
      <c r="D59" s="5"/>
      <c r="E59" s="1">
        <f>IFERROR(IF((E60/(E50+E53)+E61/(E51+E54)+E62/(E52+E55))/3&lt;=100,0,IF((E60/(E50+E53)+E61/(E51+E54)+E62/(E52+E55))/3&gt;=1000,1,((E60/(E50+E53)+E61/(E51+E54)+E62/(E52+E55))/3-100)/900))*F59," ")</f>
        <v>0</v>
      </c>
      <c r="F59" s="11">
        <v>0</v>
      </c>
      <c r="G59" s="7" t="e">
        <f t="shared" ref="G59" si="7">E59/F59</f>
        <v>#DIV/0!</v>
      </c>
    </row>
    <row r="60" spans="1:7" hidden="1" x14ac:dyDescent="0.25">
      <c r="A60" s="82"/>
      <c r="B60" s="52"/>
      <c r="C60" s="12" t="s">
        <v>82</v>
      </c>
      <c r="D60" s="8">
        <f>$D$2-5</f>
        <v>2017</v>
      </c>
      <c r="E60" s="22">
        <v>265431.7</v>
      </c>
      <c r="F60" s="9"/>
    </row>
    <row r="61" spans="1:7" hidden="1" x14ac:dyDescent="0.25">
      <c r="A61" s="82"/>
      <c r="B61" s="52"/>
      <c r="C61" s="12" t="s">
        <v>82</v>
      </c>
      <c r="D61" s="8">
        <f>$D$2-4</f>
        <v>2018</v>
      </c>
      <c r="E61" s="22">
        <v>382808.6</v>
      </c>
      <c r="F61" s="9"/>
    </row>
    <row r="62" spans="1:7" hidden="1" x14ac:dyDescent="0.25">
      <c r="A62" s="82"/>
      <c r="B62" s="52"/>
      <c r="C62" s="12" t="s">
        <v>82</v>
      </c>
      <c r="D62" s="8">
        <f>$D$2-3</f>
        <v>2019</v>
      </c>
      <c r="E62" s="22">
        <v>619984.4</v>
      </c>
      <c r="F62" s="9"/>
    </row>
    <row r="63" spans="1:7" x14ac:dyDescent="0.25">
      <c r="A63" s="83" t="s">
        <v>78</v>
      </c>
      <c r="B63" s="2" t="s">
        <v>61</v>
      </c>
      <c r="C63" s="13" t="s">
        <v>60</v>
      </c>
      <c r="D63" s="5"/>
      <c r="E63" s="1">
        <f>IF((E67+0.25*E68+0.1*E69)/(E64+E65*0.25+E66*0.1)*100&gt;=15,1,IF((E67+0.25*E68+0.1*E69)/(E64+E65*0.25+E66*0.1)*100&lt;=1,0,((E67+0.25*E68+0.1*E69)/(E64+E65*0.25+E66*0.1)*100-1)/14))*F63</f>
        <v>4.088146661436717</v>
      </c>
      <c r="F63" s="11">
        <v>10</v>
      </c>
      <c r="G63" s="7">
        <f t="shared" ref="G63:G83" si="8">E63/F63</f>
        <v>0.40881466614367168</v>
      </c>
    </row>
    <row r="64" spans="1:7"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9.6209638756671652</v>
      </c>
      <c r="F70" s="11">
        <v>10</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SUM(E7,E9,E12,E15,E18,E38,E42,E45,E49,E59,E63,E70,E28,E89:E93)*(IF(1+0.5*(IFERROR((E84+E85*0.25+E86*0.1)/(E19+E22*0.25+E25*0.1),0)-0.2)/0.8&lt;1,1,1+0.5*(IFERROR((E84+E85*0.25+E86*0.1)/(E19+E22*0.25+E25*0.1),0)-0.2)/0.8))</f>
        <v>13.709110537103882</v>
      </c>
      <c r="F83">
        <v>100</v>
      </c>
      <c r="G83" s="7">
        <f t="shared" si="8"/>
        <v>0.13709110537103883</v>
      </c>
    </row>
    <row r="84" spans="1:7" x14ac:dyDescent="0.25">
      <c r="A84" s="85"/>
      <c r="B84" s="54"/>
      <c r="C84" s="12" t="s">
        <v>72</v>
      </c>
      <c r="D84" s="4">
        <f t="shared" ref="D84:D86" si="10">$D$2-2</f>
        <v>2020</v>
      </c>
      <c r="E84" s="22">
        <v>0</v>
      </c>
      <c r="G84" s="7"/>
    </row>
    <row r="85" spans="1:7" x14ac:dyDescent="0.25">
      <c r="A85" s="85"/>
      <c r="B85" s="54"/>
      <c r="C85" s="12" t="s">
        <v>73</v>
      </c>
      <c r="D85" s="4">
        <f t="shared" si="10"/>
        <v>2020</v>
      </c>
      <c r="E85" s="22">
        <v>0</v>
      </c>
      <c r="G85" s="7"/>
    </row>
    <row r="86" spans="1:7" x14ac:dyDescent="0.25">
      <c r="A86" s="85"/>
      <c r="B86" s="54"/>
      <c r="C86" s="12" t="s">
        <v>74</v>
      </c>
      <c r="D86" s="4">
        <f t="shared" si="10"/>
        <v>2020</v>
      </c>
      <c r="E86" s="22">
        <v>0</v>
      </c>
      <c r="G86" s="7"/>
    </row>
  </sheetData>
  <mergeCells count="17">
    <mergeCell ref="A48:G48"/>
    <mergeCell ref="A7:A8"/>
    <mergeCell ref="A9:A11"/>
    <mergeCell ref="A12:A14"/>
    <mergeCell ref="A15:A17"/>
    <mergeCell ref="A18:A27"/>
    <mergeCell ref="A28:A32"/>
    <mergeCell ref="A33:A37"/>
    <mergeCell ref="A38:A41"/>
    <mergeCell ref="A42:A44"/>
    <mergeCell ref="B42:B44"/>
    <mergeCell ref="A45:A47"/>
    <mergeCell ref="A49:A58"/>
    <mergeCell ref="A59:A62"/>
    <mergeCell ref="A63:A69"/>
    <mergeCell ref="A70:A82"/>
    <mergeCell ref="A83:A86"/>
  </mergeCells>
  <conditionalFormatting sqref="G2:G47 G49:G86">
    <cfRule type="iconSet" priority="1">
      <iconSet>
        <cfvo type="percent" val="0"/>
        <cfvo type="percent" val="33"/>
        <cfvo type="percent" val="67"/>
      </iconSet>
    </cfRule>
  </conditionalFormatting>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tabColor rgb="FF00B050"/>
  </sheetPr>
  <dimension ref="A2:G86"/>
  <sheetViews>
    <sheetView topLeftCell="A19" workbookViewId="0">
      <selection activeCell="F7" sqref="F7"/>
    </sheetView>
  </sheetViews>
  <sheetFormatPr defaultRowHeight="15" x14ac:dyDescent="0.25"/>
  <cols>
    <col min="1" max="1" width="59.5703125" customWidth="1"/>
    <col min="2" max="2" width="9" customWidth="1"/>
    <col min="3" max="3" width="50.42578125" customWidth="1"/>
    <col min="4" max="4" width="37.7109375" customWidth="1"/>
    <col min="5" max="7" width="17.42578125" customWidth="1"/>
  </cols>
  <sheetData>
    <row r="2" spans="1:7" x14ac:dyDescent="0.25">
      <c r="A2" s="1" t="s">
        <v>80</v>
      </c>
      <c r="C2" s="12" t="s">
        <v>24</v>
      </c>
      <c r="D2" s="43">
        <v>2022</v>
      </c>
    </row>
    <row r="3" spans="1:7" x14ac:dyDescent="0.25">
      <c r="A3" t="s">
        <v>81</v>
      </c>
      <c r="C3" s="12" t="s">
        <v>191</v>
      </c>
      <c r="D3" s="58" t="s">
        <v>243</v>
      </c>
      <c r="E3" s="57" t="s">
        <v>220</v>
      </c>
    </row>
    <row r="4" spans="1:7" x14ac:dyDescent="0.25">
      <c r="C4" s="12" t="s">
        <v>75</v>
      </c>
      <c r="D4" s="10">
        <f>E83</f>
        <v>11.881237410917533</v>
      </c>
    </row>
    <row r="5" spans="1:7" x14ac:dyDescent="0.25">
      <c r="C5" s="12"/>
      <c r="D5" s="4"/>
    </row>
    <row r="6" spans="1:7" x14ac:dyDescent="0.25">
      <c r="A6" t="s">
        <v>7</v>
      </c>
      <c r="C6" s="12" t="s">
        <v>25</v>
      </c>
      <c r="D6" s="4" t="s">
        <v>21</v>
      </c>
      <c r="F6" t="s">
        <v>20</v>
      </c>
      <c r="G6" t="s">
        <v>42</v>
      </c>
    </row>
    <row r="7" spans="1:7" x14ac:dyDescent="0.25">
      <c r="A7" s="79" t="s">
        <v>9</v>
      </c>
      <c r="B7" s="49" t="s">
        <v>0</v>
      </c>
      <c r="C7" s="13" t="s">
        <v>1</v>
      </c>
      <c r="D7" s="5"/>
      <c r="E7" s="1">
        <f>IF(E8&gt;=100,1,IF(E8&lt;=40,0,(E8-40)/60))*F7</f>
        <v>0</v>
      </c>
      <c r="F7" s="2">
        <v>23</v>
      </c>
      <c r="G7" s="7">
        <f>E7/F7</f>
        <v>0</v>
      </c>
    </row>
    <row r="8" spans="1:7" x14ac:dyDescent="0.25">
      <c r="A8" s="79"/>
      <c r="B8" s="50"/>
      <c r="C8" s="12" t="s">
        <v>4</v>
      </c>
      <c r="D8" s="4">
        <f>$D$2-2</f>
        <v>2020</v>
      </c>
      <c r="E8" s="22"/>
      <c r="G8" s="7"/>
    </row>
    <row r="9" spans="1:7" x14ac:dyDescent="0.25">
      <c r="A9" s="81" t="s">
        <v>10</v>
      </c>
      <c r="B9" s="47" t="s">
        <v>3</v>
      </c>
      <c r="C9" s="13" t="s">
        <v>2</v>
      </c>
      <c r="D9" s="5"/>
      <c r="E9" s="1">
        <f>IFERROR(IF(E10/E11*100&gt;=100,1,IF(E10/E11*100&lt;=80,0,((E10/E11*100)-80)/20))*F9,0)</f>
        <v>0</v>
      </c>
      <c r="F9" s="46">
        <v>3</v>
      </c>
      <c r="G9" s="7">
        <f t="shared" ref="G9:G38" si="0">E9/F9</f>
        <v>0</v>
      </c>
    </row>
    <row r="10" spans="1:7" x14ac:dyDescent="0.25">
      <c r="A10" s="81"/>
      <c r="B10" s="48"/>
      <c r="C10" s="12" t="s">
        <v>23</v>
      </c>
      <c r="D10" s="4" t="str">
        <f>$D$2-2&amp;" "&amp;$D$2-3&amp;" "&amp;$D$2-4</f>
        <v>2020 2019 2018</v>
      </c>
      <c r="E10" s="22">
        <v>0</v>
      </c>
      <c r="G10" s="7"/>
    </row>
    <row r="11" spans="1:7" x14ac:dyDescent="0.25">
      <c r="A11" s="81"/>
      <c r="B11" s="48"/>
      <c r="C11" s="12" t="s">
        <v>22</v>
      </c>
      <c r="D11" s="4" t="str">
        <f>$D$2-2&amp;" "&amp;$D$2-3&amp;" "&amp;$D$2-4</f>
        <v>2020 2019 2018</v>
      </c>
      <c r="E11" s="22">
        <v>0</v>
      </c>
      <c r="G11" s="7"/>
    </row>
    <row r="12" spans="1:7" x14ac:dyDescent="0.25">
      <c r="A12" s="79" t="s">
        <v>8</v>
      </c>
      <c r="B12" s="49" t="s">
        <v>6</v>
      </c>
      <c r="C12" s="13" t="s">
        <v>5</v>
      </c>
      <c r="D12" s="5"/>
      <c r="E12" s="1">
        <f>IFERROR(IF(E14/E13&gt;=0.5,1,IF(E14/E13&lt;=0,0,(E14/E13/0.5)))*F12,0)</f>
        <v>0</v>
      </c>
      <c r="F12" s="46">
        <v>4</v>
      </c>
      <c r="G12" s="7">
        <f t="shared" si="0"/>
        <v>0</v>
      </c>
    </row>
    <row r="13" spans="1:7" x14ac:dyDescent="0.25">
      <c r="A13" s="79"/>
      <c r="B13" s="50"/>
      <c r="C13" s="12" t="s">
        <v>11</v>
      </c>
      <c r="D13" s="4">
        <f>$D$2-2</f>
        <v>2020</v>
      </c>
      <c r="E13" s="22">
        <v>0</v>
      </c>
      <c r="G13" s="7"/>
    </row>
    <row r="14" spans="1:7" x14ac:dyDescent="0.25">
      <c r="A14" s="79"/>
      <c r="B14" s="50"/>
      <c r="C14" s="12" t="s">
        <v>12</v>
      </c>
      <c r="D14" s="4">
        <f>$D$2-2</f>
        <v>2020</v>
      </c>
      <c r="E14" s="22">
        <v>0</v>
      </c>
      <c r="G14" s="7"/>
    </row>
    <row r="15" spans="1:7" x14ac:dyDescent="0.25">
      <c r="A15" s="81" t="s">
        <v>17</v>
      </c>
      <c r="B15" s="47" t="s">
        <v>13</v>
      </c>
      <c r="C15" s="13" t="s">
        <v>14</v>
      </c>
      <c r="D15" s="5"/>
      <c r="E15" s="1">
        <f>IFERROR(IF(E16/E17&gt;=1,1,IF(E16/E17&lt;=0,0,(E16/E17)))*F15,0)</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0</v>
      </c>
      <c r="G17" s="7"/>
    </row>
    <row r="18" spans="1:7" x14ac:dyDescent="0.25">
      <c r="A18" s="79" t="s">
        <v>217</v>
      </c>
      <c r="B18" s="49" t="s">
        <v>19</v>
      </c>
      <c r="C18" s="13" t="s">
        <v>18</v>
      </c>
      <c r="D18" s="5"/>
      <c r="E18" s="1">
        <f>IF(SUM(E19:E27)=0,0,IFERROR(IF(IF(E19+E22*0.25+E25*0.1&lt;=0,0,(((E20+0.25*E23+0.1*E26)+3*(E21+0.25*E24+0.1*E27))/(E19+E22*0.25+E25*0.1)))&gt;=0.25,1,IF(IF(E19+E22*0.25+E25*0.1&lt;=0,1,(((E20+0.25*E23+0.1*E26)+3*(E21+0.25*E24+0.1*E27))/(E19+E22*0.25+E25*0.1)))&lt;=0,0,IF(E19+E22*0.25+E25*0.1&lt;=0,1,(((E20+0.25*E23+0.1*E26)+3*(E21+0.25*E24+0.1*E27))/(E19+E22*0.25+E25*0.1))/0.25)))*F18,""))</f>
        <v>0</v>
      </c>
      <c r="F18" s="11">
        <v>9</v>
      </c>
      <c r="G18" s="7">
        <f t="shared" si="0"/>
        <v>0</v>
      </c>
    </row>
    <row r="19" spans="1:7" x14ac:dyDescent="0.25">
      <c r="A19" s="79"/>
      <c r="B19" s="50"/>
      <c r="C19" s="12" t="s">
        <v>26</v>
      </c>
      <c r="D19" s="4">
        <f t="shared" ref="D19:D41" si="1">$D$2-2</f>
        <v>2020</v>
      </c>
      <c r="E19" s="22">
        <v>0</v>
      </c>
      <c r="G19" s="7"/>
    </row>
    <row r="20" spans="1:7" x14ac:dyDescent="0.25">
      <c r="A20" s="79"/>
      <c r="B20" s="50"/>
      <c r="C20" s="12" t="s">
        <v>27</v>
      </c>
      <c r="D20" s="4">
        <f t="shared" si="1"/>
        <v>2020</v>
      </c>
      <c r="E20" s="22">
        <v>0</v>
      </c>
      <c r="G20" s="7"/>
    </row>
    <row r="21" spans="1:7" x14ac:dyDescent="0.25">
      <c r="A21" s="79"/>
      <c r="B21" s="50"/>
      <c r="C21" s="12" t="s">
        <v>28</v>
      </c>
      <c r="D21" s="4">
        <f t="shared" si="1"/>
        <v>2020</v>
      </c>
      <c r="E21" s="22">
        <v>0</v>
      </c>
      <c r="G21" s="7"/>
    </row>
    <row r="22" spans="1:7" x14ac:dyDescent="0.25">
      <c r="A22" s="79"/>
      <c r="B22" s="50"/>
      <c r="C22" s="12" t="s">
        <v>29</v>
      </c>
      <c r="D22" s="4">
        <f t="shared" si="1"/>
        <v>2020</v>
      </c>
      <c r="E22" s="22">
        <v>0</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0</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0</v>
      </c>
      <c r="G27" s="7"/>
    </row>
    <row r="28" spans="1:7" hidden="1" x14ac:dyDescent="0.25">
      <c r="A28" s="77" t="s">
        <v>143</v>
      </c>
      <c r="B28" s="47" t="s">
        <v>85</v>
      </c>
      <c r="C28" s="13" t="s">
        <v>84</v>
      </c>
      <c r="D28" s="4"/>
      <c r="E28" s="11">
        <f>IFERROR(IF(IF(AND(E35+0.25*E36+0.1*E37=0,0.25*(E29+0.25*E30+0.1*E31)+(E32+0.25*E33+0.1*E34)&gt;0),1,(0.25*(E29+0.25*E30+0.1*E31)+(E32+0.25*E33+0.1*E34))/(E35+0.25*E36+0.1*E37))&gt;=0.2,1,IF(IF(E35+0.25*E36+0.1*E37=0,1,(0.25*(E29+0.25*E30+0.1*E31)+(E32+0.25*E33+0.1*E34))/(E35+0.25*E36+0.1*E37))&lt;=0,0,IF(E35+0.25*E36+0.1*E37=0,1,(0.25*(E29+0.25*E30+0.1*E31)+(E32+0.25*E33+0.1*E34))/(E35+0.25*E36+0.1*E37)/0.2)))*F28,0)</f>
        <v>0</v>
      </c>
      <c r="F28" s="1">
        <v>0</v>
      </c>
      <c r="G28" s="7" t="e">
        <f t="shared" si="0"/>
        <v>#DIV/0!</v>
      </c>
    </row>
    <row r="29" spans="1:7" hidden="1" x14ac:dyDescent="0.25">
      <c r="A29" s="77"/>
      <c r="B29" s="48"/>
      <c r="C29" s="12" t="s">
        <v>86</v>
      </c>
      <c r="D29" s="14">
        <f>$D$2-3</f>
        <v>2019</v>
      </c>
      <c r="E29" s="22"/>
      <c r="G29" s="7"/>
    </row>
    <row r="30" spans="1:7" hidden="1" x14ac:dyDescent="0.25">
      <c r="A30" s="77"/>
      <c r="B30" s="48"/>
      <c r="C30" s="12" t="s">
        <v>87</v>
      </c>
      <c r="D30" s="14">
        <f t="shared" ref="D30:D34" si="2">$D$2-3</f>
        <v>2019</v>
      </c>
      <c r="E30" s="22"/>
      <c r="G30" s="7"/>
    </row>
    <row r="31" spans="1:7" hidden="1" x14ac:dyDescent="0.25">
      <c r="A31" s="77"/>
      <c r="B31" s="48"/>
      <c r="C31" s="12" t="s">
        <v>88</v>
      </c>
      <c r="D31" s="14">
        <f t="shared" si="2"/>
        <v>2019</v>
      </c>
      <c r="E31" s="22"/>
      <c r="G31" s="7"/>
    </row>
    <row r="32" spans="1:7" hidden="1" x14ac:dyDescent="0.25">
      <c r="A32" s="77"/>
      <c r="B32" s="48"/>
      <c r="C32" s="12" t="s">
        <v>89</v>
      </c>
      <c r="D32" s="14">
        <f t="shared" si="2"/>
        <v>2019</v>
      </c>
      <c r="E32" s="22"/>
      <c r="G32" s="7"/>
    </row>
    <row r="33" spans="1:7" hidden="1" x14ac:dyDescent="0.25">
      <c r="A33" s="77" t="s">
        <v>142</v>
      </c>
      <c r="B33" s="48"/>
      <c r="C33" s="12" t="s">
        <v>90</v>
      </c>
      <c r="D33" s="14">
        <f t="shared" si="2"/>
        <v>2019</v>
      </c>
      <c r="E33" s="22"/>
      <c r="G33" s="7"/>
    </row>
    <row r="34" spans="1:7" hidden="1" x14ac:dyDescent="0.25">
      <c r="A34" s="77"/>
      <c r="B34" s="48"/>
      <c r="C34" s="12" t="s">
        <v>91</v>
      </c>
      <c r="D34" s="14">
        <f t="shared" si="2"/>
        <v>2019</v>
      </c>
      <c r="E34" s="22"/>
      <c r="G34" s="7"/>
    </row>
    <row r="35" spans="1:7" hidden="1" x14ac:dyDescent="0.25">
      <c r="A35" s="77"/>
      <c r="B35" s="48"/>
      <c r="C35" s="12" t="s">
        <v>92</v>
      </c>
      <c r="D35" s="4">
        <f t="shared" ref="D35:D37" si="3">$D$2-2</f>
        <v>2020</v>
      </c>
      <c r="E35" s="22">
        <f>E19+E20</f>
        <v>0</v>
      </c>
      <c r="G35" s="7"/>
    </row>
    <row r="36" spans="1:7" hidden="1" x14ac:dyDescent="0.25">
      <c r="A36" s="77"/>
      <c r="B36" s="48"/>
      <c r="C36" s="12" t="s">
        <v>93</v>
      </c>
      <c r="D36" s="4">
        <f t="shared" si="3"/>
        <v>2020</v>
      </c>
      <c r="E36" s="22">
        <f>E22+E23</f>
        <v>0</v>
      </c>
      <c r="G36" s="7"/>
    </row>
    <row r="37" spans="1:7" hidden="1" x14ac:dyDescent="0.25">
      <c r="A37" s="77"/>
      <c r="B37" s="48"/>
      <c r="C37" s="12" t="s">
        <v>94</v>
      </c>
      <c r="D37" s="4">
        <f t="shared" si="3"/>
        <v>2020</v>
      </c>
      <c r="E37" s="22">
        <f>E25+E26</f>
        <v>0</v>
      </c>
      <c r="G37" s="7"/>
    </row>
    <row r="38" spans="1:7" x14ac:dyDescent="0.25">
      <c r="A38" s="78" t="s">
        <v>41</v>
      </c>
      <c r="B38" s="49" t="s">
        <v>36</v>
      </c>
      <c r="C38" s="13" t="s">
        <v>37</v>
      </c>
      <c r="D38" s="5"/>
      <c r="E38" s="1">
        <f>IFERROR(IF(((E39+E40*0.25+E41*0.1)/(E19+E22*0.25+E25*0.1))&gt;=0.5,1,IF((E39+E40*0.25+E41*0.1)/(E19+E22*0.25+E25*0.1)&lt;=0,0,((E39+E40*0.25+E41*0.1)/(E19+E22*0.25+E25*0.1)/0.5)))*F38,0)</f>
        <v>0</v>
      </c>
      <c r="F38" s="11">
        <v>9</v>
      </c>
      <c r="G38" s="7">
        <f t="shared" si="0"/>
        <v>0</v>
      </c>
    </row>
    <row r="39" spans="1:7" x14ac:dyDescent="0.25">
      <c r="A39" s="78"/>
      <c r="B39" s="50"/>
      <c r="C39" s="12" t="s">
        <v>38</v>
      </c>
      <c r="D39" s="4">
        <f t="shared" si="1"/>
        <v>2020</v>
      </c>
      <c r="E39" s="22">
        <v>0</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0</v>
      </c>
      <c r="G41" s="7"/>
    </row>
    <row r="42" spans="1:7" x14ac:dyDescent="0.25">
      <c r="A42" s="77" t="s">
        <v>145</v>
      </c>
      <c r="B42" s="76" t="s">
        <v>44</v>
      </c>
      <c r="C42" s="13" t="s">
        <v>43</v>
      </c>
      <c r="D42" s="5"/>
      <c r="E42" s="1">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Методики",IF(E44/E43*100&lt;=30,0,IF(E44/E43*100&gt;=85,1,(E44/E43*100-30)/55)))*F42,0)</f>
        <v>0</v>
      </c>
      <c r="F42" s="2">
        <v>25</v>
      </c>
      <c r="G42" s="7">
        <f>E42/F42</f>
        <v>0</v>
      </c>
    </row>
    <row r="43" spans="1:7" x14ac:dyDescent="0.25">
      <c r="A43" s="77"/>
      <c r="B43" s="76" t="s">
        <v>218</v>
      </c>
      <c r="C43" s="12" t="s">
        <v>46</v>
      </c>
      <c r="D43" s="4" t="str">
        <f>$D$2-4&amp;" "&amp;$D$2-5&amp;" "&amp;$D$2-6</f>
        <v>2018 2017 2016</v>
      </c>
      <c r="E43" s="22">
        <v>0</v>
      </c>
    </row>
    <row r="44" spans="1:7" x14ac:dyDescent="0.25">
      <c r="A44" s="77"/>
      <c r="B44" s="76"/>
      <c r="C44" s="12" t="s">
        <v>45</v>
      </c>
      <c r="D44" s="4" t="str">
        <f>$D$2-3&amp;" "&amp;$D$2-4&amp;" "&amp;$D$2-5</f>
        <v>2019 2018 2017</v>
      </c>
      <c r="E44" s="22">
        <v>0</v>
      </c>
    </row>
    <row r="45" spans="1:7" x14ac:dyDescent="0.25">
      <c r="A45" s="79" t="s">
        <v>219</v>
      </c>
      <c r="B45" s="49" t="s">
        <v>48</v>
      </c>
      <c r="C45" s="13" t="s">
        <v>47</v>
      </c>
      <c r="D45" s="5"/>
      <c r="E45" s="1">
        <f>IFERROR(IF(E47/E46*100&lt;=30,0,IF(E47/E46*100&gt;=60,1,(E47/E46*100-30)/30))*F45,0)</f>
        <v>0</v>
      </c>
      <c r="F45" s="46">
        <v>5</v>
      </c>
      <c r="G45" s="7">
        <f t="shared" ref="G45" si="4">E45/F45</f>
        <v>0</v>
      </c>
    </row>
    <row r="46" spans="1:7" x14ac:dyDescent="0.25">
      <c r="A46" s="79"/>
      <c r="B46" s="50"/>
      <c r="C46" s="12" t="s">
        <v>49</v>
      </c>
      <c r="D46" s="8">
        <f>$D$2-5</f>
        <v>2017</v>
      </c>
      <c r="E46" s="22">
        <v>0</v>
      </c>
    </row>
    <row r="47" spans="1:7" x14ac:dyDescent="0.25">
      <c r="A47" s="80"/>
      <c r="B47" s="50"/>
      <c r="C47" s="12" t="s">
        <v>50</v>
      </c>
      <c r="D47" s="4">
        <f t="shared" ref="D47" si="5">$D$2-2</f>
        <v>2020</v>
      </c>
      <c r="E47" s="29">
        <v>0</v>
      </c>
    </row>
    <row r="48" spans="1:7" x14ac:dyDescent="0.25">
      <c r="A48" s="71" t="s">
        <v>224</v>
      </c>
      <c r="B48" s="72"/>
      <c r="C48" s="72"/>
      <c r="D48" s="72"/>
      <c r="E48" s="72"/>
      <c r="F48" s="72"/>
      <c r="G48" s="73"/>
    </row>
    <row r="49" spans="1:7" x14ac:dyDescent="0.25">
      <c r="A49" s="74" t="s">
        <v>59</v>
      </c>
      <c r="B49" s="59" t="s">
        <v>52</v>
      </c>
      <c r="C49" s="30" t="s">
        <v>53</v>
      </c>
      <c r="D49" s="31"/>
      <c r="E49" s="32">
        <f>IFERROR(IF((E56/(E50+E53)+E57/(E51+E54)+E58/(E52+E55))/3*100&lt;=5,0,IF((E56/(E50+E53)+E57/(E51+E54)+E58/(E52+E55))/3*100&gt;=100,1,((E56/(E50+E53)+E57/(E51+E54)+E58/(E52+E55))/3*100-5)/95))*F49,"")</f>
        <v>3.4663573753491654</v>
      </c>
      <c r="F49" s="32">
        <v>5</v>
      </c>
      <c r="G49" s="33">
        <f t="shared" ref="G49" si="6">E49/F49</f>
        <v>0.69327147506983311</v>
      </c>
    </row>
    <row r="50" spans="1:7" x14ac:dyDescent="0.25">
      <c r="A50" s="75"/>
      <c r="B50" s="55"/>
      <c r="C50" s="12" t="s">
        <v>54</v>
      </c>
      <c r="D50" s="8">
        <f>$D$2-5</f>
        <v>2017</v>
      </c>
      <c r="E50" s="22">
        <v>1051.2</v>
      </c>
    </row>
    <row r="51" spans="1:7" x14ac:dyDescent="0.25">
      <c r="A51" s="75"/>
      <c r="B51" s="55"/>
      <c r="C51" s="12" t="s">
        <v>54</v>
      </c>
      <c r="D51" s="8">
        <f>$D$2-4</f>
        <v>2018</v>
      </c>
      <c r="E51" s="22">
        <v>1047.5</v>
      </c>
    </row>
    <row r="52" spans="1:7" x14ac:dyDescent="0.25">
      <c r="A52" s="75"/>
      <c r="B52" s="55"/>
      <c r="C52" s="12" t="s">
        <v>54</v>
      </c>
      <c r="D52" s="8">
        <f>$D$2-3</f>
        <v>2019</v>
      </c>
      <c r="E52" s="22">
        <v>1059.5</v>
      </c>
    </row>
    <row r="53" spans="1:7" x14ac:dyDescent="0.25">
      <c r="A53" s="75"/>
      <c r="B53" s="55"/>
      <c r="C53" s="12" t="s">
        <v>55</v>
      </c>
      <c r="D53" s="8">
        <f>$D$2-5</f>
        <v>2017</v>
      </c>
      <c r="E53" s="22">
        <v>56.2</v>
      </c>
    </row>
    <row r="54" spans="1:7" x14ac:dyDescent="0.25">
      <c r="A54" s="75"/>
      <c r="B54" s="55"/>
      <c r="C54" s="12" t="s">
        <v>55</v>
      </c>
      <c r="D54" s="8">
        <f>$D$2-4</f>
        <v>2018</v>
      </c>
      <c r="E54" s="22">
        <v>54.6</v>
      </c>
    </row>
    <row r="55" spans="1:7" x14ac:dyDescent="0.25">
      <c r="A55" s="75"/>
      <c r="B55" s="55"/>
      <c r="C55" s="12" t="s">
        <v>55</v>
      </c>
      <c r="D55" s="8">
        <f>$D$2-3</f>
        <v>2019</v>
      </c>
      <c r="E55" s="22">
        <v>56.5</v>
      </c>
    </row>
    <row r="56" spans="1:7" x14ac:dyDescent="0.25">
      <c r="A56" s="75"/>
      <c r="B56" s="55"/>
      <c r="C56" s="12" t="s">
        <v>56</v>
      </c>
      <c r="D56" s="8">
        <f>$D$2-5</f>
        <v>2017</v>
      </c>
      <c r="E56" s="22">
        <v>380</v>
      </c>
    </row>
    <row r="57" spans="1:7" x14ac:dyDescent="0.25">
      <c r="A57" s="75"/>
      <c r="B57" s="55"/>
      <c r="C57" s="12" t="s">
        <v>56</v>
      </c>
      <c r="D57" s="8">
        <f>$D$2-4</f>
        <v>2018</v>
      </c>
      <c r="E57" s="22">
        <v>830</v>
      </c>
      <c r="F57" s="9"/>
    </row>
    <row r="58" spans="1:7" x14ac:dyDescent="0.25">
      <c r="A58" s="75"/>
      <c r="B58" s="55"/>
      <c r="C58" s="12" t="s">
        <v>56</v>
      </c>
      <c r="D58" s="8">
        <f>$D$2-3</f>
        <v>2019</v>
      </c>
      <c r="E58" s="22">
        <v>1149</v>
      </c>
      <c r="F58" s="9"/>
    </row>
    <row r="59" spans="1:7" x14ac:dyDescent="0.25">
      <c r="A59" s="82" t="s">
        <v>79</v>
      </c>
      <c r="B59" s="51" t="s">
        <v>58</v>
      </c>
      <c r="C59" s="13" t="s">
        <v>57</v>
      </c>
      <c r="D59" s="5"/>
      <c r="E59" s="1">
        <f>IFERROR(IF((E60/(E50+E53)+E61/(E51+E54)+E62/(E52+E55))/3&lt;=100,0,IF((E60/(E50+E53)+E61/(E51+E54)+E62/(E52+E55))/3&gt;=1000,1,((E60/(E50+E53)+E61/(E51+E54)+E62/(E52+E55))/3-100)/900))*F59," ")</f>
        <v>1.5603247670164266</v>
      </c>
      <c r="F59" s="11">
        <v>5</v>
      </c>
      <c r="G59" s="7">
        <f t="shared" ref="G59" si="7">E59/F59</f>
        <v>0.31206495340328533</v>
      </c>
    </row>
    <row r="60" spans="1:7" x14ac:dyDescent="0.25">
      <c r="A60" s="82"/>
      <c r="B60" s="52"/>
      <c r="C60" s="12" t="s">
        <v>82</v>
      </c>
      <c r="D60" s="8">
        <f>$D$2-5</f>
        <v>2017</v>
      </c>
      <c r="E60" s="22">
        <v>265431.7</v>
      </c>
      <c r="F60" s="9"/>
    </row>
    <row r="61" spans="1:7" x14ac:dyDescent="0.25">
      <c r="A61" s="82"/>
      <c r="B61" s="52"/>
      <c r="C61" s="12" t="s">
        <v>82</v>
      </c>
      <c r="D61" s="8">
        <f>$D$2-4</f>
        <v>2018</v>
      </c>
      <c r="E61" s="22">
        <v>382808.6</v>
      </c>
      <c r="F61" s="9"/>
    </row>
    <row r="62" spans="1:7" x14ac:dyDescent="0.25">
      <c r="A62" s="82"/>
      <c r="B62" s="52"/>
      <c r="C62" s="12" t="s">
        <v>82</v>
      </c>
      <c r="D62" s="8">
        <f>$D$2-3</f>
        <v>2019</v>
      </c>
      <c r="E62" s="22">
        <v>619984.4</v>
      </c>
      <c r="F62" s="9"/>
    </row>
    <row r="63" spans="1:7" x14ac:dyDescent="0.25">
      <c r="A63" s="83" t="s">
        <v>78</v>
      </c>
      <c r="B63" s="2" t="s">
        <v>61</v>
      </c>
      <c r="C63" s="13" t="s">
        <v>60</v>
      </c>
      <c r="D63" s="5"/>
      <c r="E63" s="1">
        <f>IF((E67+0.25*E68+0.1*E69)/(E64+E65*0.25+E66*0.1)*100&gt;=15,1,IF((E67+0.25*E68+0.1*E69)/(E64+E65*0.25+E66*0.1)*100&lt;=1,0,((E67+0.25*E68+0.1*E69)/(E64+E65*0.25+E66*0.1)*100-1)/14))*F63</f>
        <v>2.0440733307183585</v>
      </c>
      <c r="F63" s="11">
        <v>5</v>
      </c>
      <c r="G63" s="7">
        <f t="shared" ref="G63:G83" si="8">E63/F63</f>
        <v>0.40881466614367168</v>
      </c>
    </row>
    <row r="64" spans="1:7"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4.8104819378335826</v>
      </c>
      <c r="F70" s="11">
        <v>5</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SUM(E7,E9,E12,E15,E18,E38,E42,E45,E49,E59,E63,E70,E28,E89:E93)*(IF(1+0.5*(IFERROR((E84+E85*0.25+E86*0.1)/(E19+E22*0.25+E25*0.1),0)-0.2)/0.8&lt;1,1,1+0.5*(IFERROR((E84+E85*0.25+E86*0.1)/(E19+E22*0.25+E25*0.1),0)-0.2)/0.8))</f>
        <v>11.881237410917533</v>
      </c>
      <c r="F83">
        <v>100</v>
      </c>
      <c r="G83" s="7">
        <f t="shared" si="8"/>
        <v>0.11881237410917533</v>
      </c>
    </row>
    <row r="84" spans="1:7" x14ac:dyDescent="0.25">
      <c r="A84" s="85"/>
      <c r="B84" s="54"/>
      <c r="C84" s="12" t="s">
        <v>72</v>
      </c>
      <c r="D84" s="4">
        <f t="shared" ref="D84:D86" si="10">$D$2-2</f>
        <v>2020</v>
      </c>
      <c r="E84" s="22">
        <v>0</v>
      </c>
      <c r="G84" s="7"/>
    </row>
    <row r="85" spans="1:7" x14ac:dyDescent="0.25">
      <c r="A85" s="85"/>
      <c r="B85" s="54"/>
      <c r="C85" s="12" t="s">
        <v>73</v>
      </c>
      <c r="D85" s="4">
        <f t="shared" si="10"/>
        <v>2020</v>
      </c>
      <c r="E85" s="22">
        <v>0</v>
      </c>
      <c r="G85" s="7"/>
    </row>
    <row r="86" spans="1:7" x14ac:dyDescent="0.25">
      <c r="A86" s="85"/>
      <c r="B86" s="54"/>
      <c r="C86" s="12" t="s">
        <v>74</v>
      </c>
      <c r="D86" s="4">
        <f t="shared" si="10"/>
        <v>2020</v>
      </c>
      <c r="E86" s="22">
        <v>0</v>
      </c>
      <c r="G86" s="7"/>
    </row>
  </sheetData>
  <mergeCells count="17">
    <mergeCell ref="A48:G48"/>
    <mergeCell ref="A7:A8"/>
    <mergeCell ref="A9:A11"/>
    <mergeCell ref="A12:A14"/>
    <mergeCell ref="A15:A17"/>
    <mergeCell ref="A18:A27"/>
    <mergeCell ref="A28:A32"/>
    <mergeCell ref="A33:A37"/>
    <mergeCell ref="A38:A41"/>
    <mergeCell ref="A42:A44"/>
    <mergeCell ref="B42:B44"/>
    <mergeCell ref="A45:A47"/>
    <mergeCell ref="A49:A58"/>
    <mergeCell ref="A59:A62"/>
    <mergeCell ref="A63:A69"/>
    <mergeCell ref="A70:A82"/>
    <mergeCell ref="A83:A86"/>
  </mergeCells>
  <conditionalFormatting sqref="G2:G47 G49:G86">
    <cfRule type="iconSet" priority="1">
      <iconSet>
        <cfvo type="percent" val="0"/>
        <cfvo type="percent" val="33"/>
        <cfvo type="percent" val="67"/>
      </iconSet>
    </cfRule>
  </conditionalFormatting>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5">
    <tabColor rgb="FF00B0F0"/>
  </sheetPr>
  <dimension ref="A1:H99"/>
  <sheetViews>
    <sheetView topLeftCell="A63" workbookViewId="0">
      <selection activeCell="F95" sqref="F95"/>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192</v>
      </c>
    </row>
    <row r="4" spans="1:8" x14ac:dyDescent="0.25">
      <c r="A4" t="s">
        <v>81</v>
      </c>
      <c r="D4" s="12" t="s">
        <v>75</v>
      </c>
      <c r="E4" s="10">
        <f>F89</f>
        <v>61.306124931021415</v>
      </c>
      <c r="F4" t="s">
        <v>138</v>
      </c>
    </row>
    <row r="5" spans="1:8" x14ac:dyDescent="0.25">
      <c r="D5" s="12"/>
      <c r="E5" s="4"/>
    </row>
    <row r="6" spans="1:8" x14ac:dyDescent="0.25">
      <c r="A6" t="s">
        <v>7</v>
      </c>
      <c r="D6" s="12" t="s">
        <v>25</v>
      </c>
      <c r="E6" s="4" t="s">
        <v>21</v>
      </c>
      <c r="G6" t="s">
        <v>20</v>
      </c>
      <c r="H6" t="s">
        <v>42</v>
      </c>
    </row>
    <row r="7" spans="1:8" ht="30" customHeight="1" x14ac:dyDescent="0.25">
      <c r="A7" s="78" t="s">
        <v>104</v>
      </c>
      <c r="B7" s="50"/>
      <c r="C7" s="49" t="s">
        <v>98</v>
      </c>
      <c r="D7" s="13" t="s">
        <v>99</v>
      </c>
      <c r="E7" s="5"/>
      <c r="F7" s="1">
        <f>IFERROR(IF(F9/F8&lt;=0.1,0,IF(F9/F8&gt;=0.5,1,(F9/F8-0.1)/0.4))*G7,G7/3)</f>
        <v>10</v>
      </c>
      <c r="G7" s="2">
        <v>10</v>
      </c>
      <c r="H7" s="7">
        <f>F7/G7</f>
        <v>1</v>
      </c>
    </row>
    <row r="8" spans="1:8" x14ac:dyDescent="0.25">
      <c r="A8" s="78"/>
      <c r="B8" s="50"/>
      <c r="C8" s="50"/>
      <c r="D8" s="12" t="s">
        <v>100</v>
      </c>
      <c r="E8" s="4">
        <f>$E$2-2</f>
        <v>2020</v>
      </c>
      <c r="F8" s="22">
        <v>289</v>
      </c>
      <c r="H8" s="7"/>
    </row>
    <row r="9" spans="1:8" x14ac:dyDescent="0.25">
      <c r="A9" s="78"/>
      <c r="B9" s="50"/>
      <c r="C9" s="49"/>
      <c r="D9" s="19" t="s">
        <v>101</v>
      </c>
      <c r="E9" s="4">
        <f>$E$2-2</f>
        <v>2020</v>
      </c>
      <c r="F9" s="39">
        <v>157</v>
      </c>
      <c r="G9" s="20"/>
      <c r="H9" s="7"/>
    </row>
    <row r="10" spans="1:8" ht="15" customHeight="1" x14ac:dyDescent="0.25">
      <c r="A10" s="82" t="s">
        <v>235</v>
      </c>
      <c r="B10" s="52"/>
      <c r="C10" s="51" t="s">
        <v>103</v>
      </c>
      <c r="D10" s="1" t="s">
        <v>102</v>
      </c>
      <c r="F10" s="1">
        <f>IFERROR(IF(F11/F12&lt;=1.5,0,IF(F11/F12&gt;=10,1,(F11/F12-1.5)/8.5))*G10,G10/3)</f>
        <v>2.1972318339100347</v>
      </c>
      <c r="G10" s="1">
        <v>5</v>
      </c>
      <c r="H10" s="7">
        <f t="shared" ref="H10:H76" si="0">F10/G10</f>
        <v>0.43944636678200694</v>
      </c>
    </row>
    <row r="11" spans="1:8" x14ac:dyDescent="0.25">
      <c r="A11" s="82"/>
      <c r="B11" s="52"/>
      <c r="C11" s="52"/>
      <c r="D11" t="s">
        <v>105</v>
      </c>
      <c r="E11" s="4">
        <f>$E$2-2</f>
        <v>2020</v>
      </c>
      <c r="F11" s="22">
        <v>178</v>
      </c>
      <c r="H11" s="7"/>
    </row>
    <row r="12" spans="1:8" x14ac:dyDescent="0.25">
      <c r="A12" s="82"/>
      <c r="B12" s="52"/>
      <c r="C12" s="52"/>
      <c r="D12" t="s">
        <v>109</v>
      </c>
      <c r="E12" s="4">
        <f>$E$2-2</f>
        <v>2020</v>
      </c>
      <c r="F12" s="22">
        <v>34</v>
      </c>
      <c r="H12" s="7"/>
    </row>
    <row r="13" spans="1:8" x14ac:dyDescent="0.25">
      <c r="A13" s="78" t="s">
        <v>111</v>
      </c>
      <c r="B13" s="50"/>
      <c r="C13" s="49" t="s">
        <v>107</v>
      </c>
      <c r="D13" s="1" t="s">
        <v>108</v>
      </c>
      <c r="E13" s="1"/>
      <c r="F13" s="1">
        <f>IFERROR(IF(F14/F12&lt;=0,0,IF(F14/F12&gt;=0.25,1,F14/F12/0.25))*G13,G13/3)</f>
        <v>2.3529411764705883</v>
      </c>
      <c r="G13" s="1">
        <v>5</v>
      </c>
      <c r="H13" s="7">
        <f t="shared" si="0"/>
        <v>0.47058823529411764</v>
      </c>
    </row>
    <row r="14" spans="1:8" x14ac:dyDescent="0.25">
      <c r="A14" s="78"/>
      <c r="B14" s="50"/>
      <c r="C14" s="50"/>
      <c r="D14" t="s">
        <v>110</v>
      </c>
      <c r="E14" s="4">
        <f>$E$2-2</f>
        <v>2020</v>
      </c>
      <c r="F14" s="22">
        <v>4</v>
      </c>
      <c r="H14" s="7"/>
    </row>
    <row r="15" spans="1:8" x14ac:dyDescent="0.25">
      <c r="A15" s="82" t="s">
        <v>115</v>
      </c>
      <c r="B15" s="66"/>
      <c r="C15" s="67" t="s">
        <v>112</v>
      </c>
      <c r="D15" s="1" t="s">
        <v>2</v>
      </c>
      <c r="E15" s="18"/>
      <c r="F15" s="11">
        <f>IFERROR(IF(F16/F17*100&lt;=80,0,IF(F16/F17*100&gt;=100,1,(F16/F17*100-80)/20))*G15,G15/3)</f>
        <v>5</v>
      </c>
      <c r="G15" s="1">
        <v>5</v>
      </c>
      <c r="H15" s="7">
        <f t="shared" si="0"/>
        <v>1</v>
      </c>
    </row>
    <row r="16" spans="1:8" x14ac:dyDescent="0.25">
      <c r="A16" s="82"/>
      <c r="B16" s="66"/>
      <c r="C16" s="66"/>
      <c r="D16" t="s">
        <v>113</v>
      </c>
      <c r="E16" s="4" t="str">
        <f>$E$2-2&amp;" "&amp;$E$2-3&amp;" "&amp;$E$2-4</f>
        <v>2020 2019 2018</v>
      </c>
      <c r="F16" s="22">
        <v>80</v>
      </c>
      <c r="H16" s="7"/>
    </row>
    <row r="17" spans="1:8" x14ac:dyDescent="0.25">
      <c r="A17" s="82"/>
      <c r="B17" s="66"/>
      <c r="C17" s="66"/>
      <c r="D17" t="s">
        <v>114</v>
      </c>
      <c r="E17" s="4" t="str">
        <f>$E$2-2&amp;" "&amp;$E$2-3&amp;" "&amp;$E$2-4</f>
        <v>2020 2019 2018</v>
      </c>
      <c r="F17" s="22">
        <v>80</v>
      </c>
      <c r="H17" s="7"/>
    </row>
    <row r="18" spans="1:8" x14ac:dyDescent="0.25">
      <c r="A18" s="78" t="s">
        <v>17</v>
      </c>
      <c r="B18" s="50"/>
      <c r="C18" s="49" t="s">
        <v>116</v>
      </c>
      <c r="D18" s="13" t="s">
        <v>14</v>
      </c>
      <c r="E18" s="5"/>
      <c r="F18" s="1">
        <f>IFERROR(IF(F19/F20&gt;=1,1,IF(F19/F20&lt;=0,0,(F19/F20)))*G18,G18/3)</f>
        <v>0</v>
      </c>
      <c r="G18" s="1">
        <v>2</v>
      </c>
      <c r="H18" s="7">
        <f t="shared" si="0"/>
        <v>0</v>
      </c>
    </row>
    <row r="19" spans="1:8" x14ac:dyDescent="0.25">
      <c r="A19" s="78"/>
      <c r="B19" s="50"/>
      <c r="C19" s="50"/>
      <c r="D19" s="12" t="s">
        <v>15</v>
      </c>
      <c r="E19" s="4">
        <f>$E$2-2</f>
        <v>2020</v>
      </c>
      <c r="F19" s="22">
        <v>0</v>
      </c>
      <c r="H19" s="7"/>
    </row>
    <row r="20" spans="1:8" x14ac:dyDescent="0.25">
      <c r="A20" s="78"/>
      <c r="B20" s="50"/>
      <c r="C20" s="50"/>
      <c r="D20" s="12" t="s">
        <v>16</v>
      </c>
      <c r="E20" s="4">
        <f>$E$2-2</f>
        <v>2020</v>
      </c>
      <c r="F20" s="22">
        <v>1</v>
      </c>
      <c r="H20" s="7"/>
    </row>
    <row r="21" spans="1:8" x14ac:dyDescent="0.25">
      <c r="A21" s="84" t="s">
        <v>119</v>
      </c>
      <c r="B21" s="52"/>
      <c r="C21" s="51" t="s">
        <v>118</v>
      </c>
      <c r="D21" s="13" t="s">
        <v>117</v>
      </c>
      <c r="E21" s="1"/>
      <c r="F21" s="1">
        <f>IFERROR(IF((F25+0.25*F26+0.1*F27)/(F22+0.25*F23+0.1*F24)&gt;=0.25,1,IF((F25+0.25*F26+0.1*F27)/(F22+0.25*F23+0.1*F24)&lt;=0,0,(F25+0.25*F26+0.1*F27)/(F22+0.25*F23+0.1*F24)/0.25))*G21,G21/3)</f>
        <v>0</v>
      </c>
      <c r="G21" s="1">
        <f>IF(OR(Главная!AE14=E3,Главная!AE15=E3,Главная!AE16=E3,Главная!AE17=E3,Главная!AE22=E3),6,9)</f>
        <v>9</v>
      </c>
      <c r="H21" s="7">
        <f t="shared" si="0"/>
        <v>0</v>
      </c>
    </row>
    <row r="22" spans="1:8" x14ac:dyDescent="0.25">
      <c r="A22" s="84"/>
      <c r="B22" s="52"/>
      <c r="C22" s="52"/>
      <c r="D22" s="12" t="s">
        <v>27</v>
      </c>
      <c r="E22" s="4">
        <f t="shared" ref="E22:E41" si="1">$E$2-2</f>
        <v>2020</v>
      </c>
      <c r="F22" s="22">
        <v>66</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0</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0</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0</v>
      </c>
      <c r="G28" s="1">
        <f>IF(OR(Главная!AE14=E3,Главная!AE15=E3,Главная!AE16=E3,Главная!AE17=E3,Главная!AE22=E3),6,0)</f>
        <v>0</v>
      </c>
      <c r="H28" s="7" t="e">
        <f t="shared" si="0"/>
        <v>#DIV/0!</v>
      </c>
    </row>
    <row r="29" spans="1:8" x14ac:dyDescent="0.25">
      <c r="A29" s="78"/>
      <c r="B29" s="50"/>
      <c r="C29" s="50"/>
      <c r="D29" s="12" t="s">
        <v>86</v>
      </c>
      <c r="E29" s="14">
        <f>$E$2-3</f>
        <v>2019</v>
      </c>
      <c r="F29" s="22">
        <v>0</v>
      </c>
      <c r="H29" s="7"/>
    </row>
    <row r="30" spans="1:8" x14ac:dyDescent="0.25">
      <c r="A30" s="78"/>
      <c r="B30" s="50"/>
      <c r="C30" s="50"/>
      <c r="D30" s="12" t="s">
        <v>87</v>
      </c>
      <c r="E30" s="14">
        <f t="shared" ref="E30:E34" si="2">$E$2-3</f>
        <v>2019</v>
      </c>
      <c r="F30" s="22">
        <v>0</v>
      </c>
      <c r="H30" s="7"/>
    </row>
    <row r="31" spans="1:8" x14ac:dyDescent="0.25">
      <c r="A31" s="78"/>
      <c r="B31" s="50"/>
      <c r="C31" s="50"/>
      <c r="D31" s="12" t="s">
        <v>88</v>
      </c>
      <c r="E31" s="14">
        <f t="shared" si="2"/>
        <v>2019</v>
      </c>
      <c r="F31" s="22">
        <v>0</v>
      </c>
      <c r="H31" s="7"/>
    </row>
    <row r="32" spans="1:8" x14ac:dyDescent="0.25">
      <c r="A32" s="78"/>
      <c r="B32" s="50"/>
      <c r="C32" s="50"/>
      <c r="D32" s="12" t="s">
        <v>89</v>
      </c>
      <c r="E32" s="14">
        <f t="shared" si="2"/>
        <v>2019</v>
      </c>
      <c r="F32" s="22">
        <v>0</v>
      </c>
      <c r="H32" s="7"/>
    </row>
    <row r="33" spans="1:8" x14ac:dyDescent="0.25">
      <c r="A33" s="78" t="s">
        <v>142</v>
      </c>
      <c r="B33" s="50"/>
      <c r="C33" s="50"/>
      <c r="D33" s="12" t="s">
        <v>90</v>
      </c>
      <c r="E33" s="14">
        <f t="shared" si="2"/>
        <v>2019</v>
      </c>
      <c r="F33" s="22">
        <v>0</v>
      </c>
      <c r="H33" s="7"/>
    </row>
    <row r="34" spans="1:8" x14ac:dyDescent="0.25">
      <c r="A34" s="78"/>
      <c r="B34" s="50"/>
      <c r="C34" s="50"/>
      <c r="D34" s="12" t="s">
        <v>91</v>
      </c>
      <c r="E34" s="14">
        <f t="shared" si="2"/>
        <v>2019</v>
      </c>
      <c r="F34" s="22">
        <v>0</v>
      </c>
      <c r="H34" s="7"/>
    </row>
    <row r="35" spans="1:8" x14ac:dyDescent="0.25">
      <c r="A35" s="78"/>
      <c r="B35" s="50"/>
      <c r="C35" s="50"/>
      <c r="D35" s="12" t="s">
        <v>92</v>
      </c>
      <c r="E35" s="4">
        <f t="shared" ref="E35:E37" si="3">$E$2-2</f>
        <v>2020</v>
      </c>
      <c r="F35" s="22">
        <v>0</v>
      </c>
      <c r="H35" s="7"/>
    </row>
    <row r="36" spans="1:8" x14ac:dyDescent="0.25">
      <c r="A36" s="78"/>
      <c r="B36" s="50"/>
      <c r="C36" s="50"/>
      <c r="D36" s="12" t="s">
        <v>93</v>
      </c>
      <c r="E36" s="4">
        <f t="shared" si="3"/>
        <v>2020</v>
      </c>
      <c r="F36" s="22">
        <v>0</v>
      </c>
      <c r="H36" s="7"/>
    </row>
    <row r="37" spans="1:8" x14ac:dyDescent="0.25">
      <c r="A37" s="78"/>
      <c r="B37" s="50"/>
      <c r="C37" s="50"/>
      <c r="D37" s="12" t="s">
        <v>94</v>
      </c>
      <c r="E37" s="4">
        <f t="shared" si="3"/>
        <v>2020</v>
      </c>
      <c r="F37" s="22">
        <v>0</v>
      </c>
      <c r="H37" s="7"/>
    </row>
    <row r="38" spans="1:8" x14ac:dyDescent="0.25">
      <c r="A38" s="82" t="s">
        <v>123</v>
      </c>
      <c r="B38" s="51"/>
      <c r="C38" s="51" t="s">
        <v>120</v>
      </c>
      <c r="D38" s="13" t="s">
        <v>37</v>
      </c>
      <c r="E38" s="5"/>
      <c r="F38" s="1">
        <f>IFERROR(IF((F39+0.25*F40+0.1*F41)/(F22+0.25*F23+0.1*F24)&gt;=0.5,1,IF((F39+0.25*F40+0.1*F41)/(F22+0.25*F23+0.1*F24)&lt;=0,0,(F39+0.25*F40+0.1*F41)/(F22+0.25*F23+0.1*F24)/0.5))*G38,G38/3)</f>
        <v>0.54545454545454541</v>
      </c>
      <c r="G38" s="1">
        <f>IF(OR(Главная!AE14=E3,Главная!AE15=E3,Главная!AE16=E3,Главная!AE17=E3,Главная!AE22=E3),6,9)</f>
        <v>9</v>
      </c>
      <c r="H38" s="7">
        <f t="shared" si="0"/>
        <v>6.0606060606060601E-2</v>
      </c>
    </row>
    <row r="39" spans="1:8" x14ac:dyDescent="0.25">
      <c r="A39" s="82"/>
      <c r="B39" s="52"/>
      <c r="C39" s="52"/>
      <c r="D39" s="12" t="s">
        <v>121</v>
      </c>
      <c r="E39" s="4">
        <f t="shared" si="1"/>
        <v>2020</v>
      </c>
      <c r="F39" s="22">
        <v>2</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3.5714285714285712</v>
      </c>
      <c r="G52" s="1">
        <v>5</v>
      </c>
      <c r="H52" s="7">
        <f t="shared" si="0"/>
        <v>0.71428571428571419</v>
      </c>
    </row>
    <row r="53" spans="1:8" x14ac:dyDescent="0.25">
      <c r="A53" s="84"/>
      <c r="B53" s="52"/>
      <c r="C53" s="52"/>
      <c r="D53" s="12" t="s">
        <v>131</v>
      </c>
      <c r="E53" s="8" t="str">
        <f>"на 01.10."&amp;$E$2-3</f>
        <v>на 01.10.2019</v>
      </c>
      <c r="F53" s="22">
        <v>35</v>
      </c>
      <c r="H53" s="7"/>
    </row>
    <row r="54" spans="1:8" x14ac:dyDescent="0.25">
      <c r="A54" s="84"/>
      <c r="B54" s="52"/>
      <c r="C54" s="52"/>
      <c r="D54" s="12" t="s">
        <v>132</v>
      </c>
      <c r="E54" s="4" t="str">
        <f>"на 01.10."&amp;$E$2-2</f>
        <v>на 01.10.2020</v>
      </c>
      <c r="F54" s="22">
        <v>23</v>
      </c>
      <c r="H54" s="7"/>
    </row>
    <row r="55" spans="1:8" ht="15" customHeight="1" x14ac:dyDescent="0.25">
      <c r="A55" s="88" t="s">
        <v>59</v>
      </c>
      <c r="B55" s="91" t="s">
        <v>140</v>
      </c>
      <c r="C55" s="11" t="s">
        <v>134</v>
      </c>
      <c r="D55" s="13" t="s">
        <v>53</v>
      </c>
      <c r="E55" s="5"/>
      <c r="F55" s="1">
        <f>IFERROR(IF((F62/(F56+F59)+F63/(F57+F60)+F64/(F58+F61))/3*100&lt;=5,0,IF((F62/(F56+F59)+F63/(F57+F60)+F64/(F58+F61))/3*100&gt;=100,1,((F62/(F56+F59)+F63/(F57+F60)+F64/(F58+F61))/3*100-5)/95))*G55,"")</f>
        <v>5.5461718005586649</v>
      </c>
      <c r="G55" s="1">
        <f>IF(OR(Главная!AE13=E3,Главная!AE14=E3,Главная!AE15=E3,Главная!AE21=E3,Главная!AE22=E3),8,0)</f>
        <v>8</v>
      </c>
      <c r="H55" s="7">
        <f t="shared" si="0"/>
        <v>0.69327147506983311</v>
      </c>
    </row>
    <row r="56" spans="1:8" x14ac:dyDescent="0.25">
      <c r="A56" s="88"/>
      <c r="B56" s="92"/>
      <c r="C56" s="9"/>
      <c r="D56" s="12" t="s">
        <v>54</v>
      </c>
      <c r="E56" s="8">
        <f>$E$2-5</f>
        <v>2017</v>
      </c>
      <c r="F56" s="38">
        <v>1051.2</v>
      </c>
      <c r="H56" s="7"/>
    </row>
    <row r="57" spans="1:8" x14ac:dyDescent="0.25">
      <c r="A57" s="88"/>
      <c r="B57" s="92"/>
      <c r="C57" s="9"/>
      <c r="D57" s="12" t="s">
        <v>54</v>
      </c>
      <c r="E57" s="8">
        <f>$E$2-4</f>
        <v>2018</v>
      </c>
      <c r="F57" s="38">
        <v>1047.5</v>
      </c>
      <c r="H57" s="7"/>
    </row>
    <row r="58" spans="1:8" x14ac:dyDescent="0.25">
      <c r="A58" s="88"/>
      <c r="B58" s="92"/>
      <c r="C58" s="9"/>
      <c r="D58" s="12" t="s">
        <v>54</v>
      </c>
      <c r="E58" s="8">
        <f>$E$2-3</f>
        <v>2019</v>
      </c>
      <c r="F58" s="38">
        <v>1059.5</v>
      </c>
      <c r="H58" s="7"/>
    </row>
    <row r="59" spans="1:8" x14ac:dyDescent="0.25">
      <c r="A59" s="88"/>
      <c r="B59" s="92"/>
      <c r="C59" s="9"/>
      <c r="D59" s="12" t="s">
        <v>55</v>
      </c>
      <c r="E59" s="8">
        <f>$E$2-5</f>
        <v>2017</v>
      </c>
      <c r="F59" s="38">
        <v>56.2</v>
      </c>
      <c r="H59" s="7"/>
    </row>
    <row r="60" spans="1:8" x14ac:dyDescent="0.25">
      <c r="A60" s="88"/>
      <c r="B60" s="92"/>
      <c r="C60" s="9"/>
      <c r="D60" s="12" t="s">
        <v>55</v>
      </c>
      <c r="E60" s="8">
        <f>$E$2-4</f>
        <v>2018</v>
      </c>
      <c r="F60" s="38">
        <v>54.6</v>
      </c>
      <c r="H60" s="7"/>
    </row>
    <row r="61" spans="1:8" x14ac:dyDescent="0.25">
      <c r="A61" s="88"/>
      <c r="B61" s="92"/>
      <c r="C61" s="9"/>
      <c r="D61" s="12" t="s">
        <v>55</v>
      </c>
      <c r="E61" s="8">
        <f>$E$2-3</f>
        <v>2019</v>
      </c>
      <c r="F61" s="38">
        <v>56.5</v>
      </c>
      <c r="H61" s="7"/>
    </row>
    <row r="62" spans="1:8" x14ac:dyDescent="0.25">
      <c r="A62" s="88"/>
      <c r="B62" s="92"/>
      <c r="C62" s="9"/>
      <c r="D62" s="12" t="s">
        <v>56</v>
      </c>
      <c r="E62" s="8">
        <f>$E$2-5</f>
        <v>2017</v>
      </c>
      <c r="F62" s="38">
        <v>380</v>
      </c>
      <c r="H62" s="7"/>
    </row>
    <row r="63" spans="1:8" x14ac:dyDescent="0.25">
      <c r="A63" s="88"/>
      <c r="B63" s="92"/>
      <c r="C63" s="9"/>
      <c r="D63" s="12" t="s">
        <v>56</v>
      </c>
      <c r="E63" s="8">
        <f>$E$2-4</f>
        <v>2018</v>
      </c>
      <c r="F63" s="38">
        <v>830</v>
      </c>
      <c r="H63" s="7"/>
    </row>
    <row r="64" spans="1:8" x14ac:dyDescent="0.25">
      <c r="A64" s="88"/>
      <c r="B64" s="92"/>
      <c r="C64" s="9"/>
      <c r="D64" s="12" t="s">
        <v>56</v>
      </c>
      <c r="E64" s="8">
        <f>$E$2-3</f>
        <v>2019</v>
      </c>
      <c r="F64" s="38">
        <v>1149</v>
      </c>
      <c r="H64" s="7"/>
    </row>
    <row r="65" spans="1:8" x14ac:dyDescent="0.25">
      <c r="A65" s="87" t="s">
        <v>79</v>
      </c>
      <c r="B65" s="92"/>
      <c r="C65" s="11" t="s">
        <v>135</v>
      </c>
      <c r="D65" s="35" t="s">
        <v>57</v>
      </c>
      <c r="E65" s="36"/>
      <c r="F65" s="1">
        <f>IFERROR(IF((F66/(F56+F59)+F67/(F57+F60)+F68/(F58+F61))/3&lt;=100,0,IF((F66/(F56+F59)+F67/(F57+F60)+F68/(F58+F61))/3&gt;=1000,1,((F66/(F56+F59)+F67/(F57+F60)+F68/(F58+F61))/3-100)/900))*G65," ")</f>
        <v>2.4965196272262826</v>
      </c>
      <c r="G65" s="1">
        <f>IF(OR(Главная!AE16=E3,Главная!AE17=E3,Главная!AE19=E3),10,IF(OR(Главная!AE13=E3,Главная!AE14=E3,Главная!AE15=E3,Главная!AE21=E3,Главная!AE22=E3),8,0))</f>
        <v>8</v>
      </c>
      <c r="H65" s="7">
        <f t="shared" si="0"/>
        <v>0.31206495340328533</v>
      </c>
    </row>
    <row r="66" spans="1:8" x14ac:dyDescent="0.25">
      <c r="A66" s="87"/>
      <c r="B66" s="92"/>
      <c r="C66" s="9"/>
      <c r="D66" s="37" t="s">
        <v>161</v>
      </c>
      <c r="E66" s="8">
        <v>2017</v>
      </c>
      <c r="F66" s="38">
        <v>265431.7</v>
      </c>
      <c r="H66" s="7"/>
    </row>
    <row r="67" spans="1:8" x14ac:dyDescent="0.25">
      <c r="A67" s="87"/>
      <c r="B67" s="92"/>
      <c r="C67" s="9"/>
      <c r="D67" s="37" t="s">
        <v>161</v>
      </c>
      <c r="E67" s="8">
        <v>2018</v>
      </c>
      <c r="F67" s="38">
        <v>382808.6</v>
      </c>
      <c r="H67" s="7"/>
    </row>
    <row r="68" spans="1:8"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2.8617026630057016</v>
      </c>
      <c r="G69" s="1">
        <f>IF(OR(Главная!AE16=E3,Главная!AE17=E3,Главная!AE19=E3),10,IF(OR(Главная!AE13=E3,Главная!AE14=E3,Главная!AE15=E3,Главная!AE21=E3,Главная!AE22=E3),7,15))</f>
        <v>7</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6.7346747129670161</v>
      </c>
      <c r="G76" s="1">
        <f>IF(OR(Главная!AE16=E3,Главная!AE17=E3,Главная!AE19=E3),10,IF(OR(Главная!AE13=E3,Главная!AE14=E3,Главная!AE15=E3,Главная!AE21=E3,Главная!AE22=E3),7,15))</f>
        <v>7</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61.306124931021415</v>
      </c>
      <c r="G89" s="1">
        <v>100</v>
      </c>
      <c r="H89" s="7">
        <f t="shared" ref="H89" si="5">F89/G89</f>
        <v>0.61306124931021411</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row r="94" spans="1:8" x14ac:dyDescent="0.25">
      <c r="C94" s="11" t="s">
        <v>96</v>
      </c>
      <c r="D94" s="86" t="s">
        <v>97</v>
      </c>
      <c r="E94" s="86"/>
      <c r="F94" s="86"/>
      <c r="G94" s="11"/>
      <c r="H94" s="7"/>
    </row>
    <row r="95" spans="1:8" x14ac:dyDescent="0.25">
      <c r="C95" s="9"/>
      <c r="D95" s="26" t="s">
        <v>124</v>
      </c>
      <c r="E95" s="65" t="s">
        <v>230</v>
      </c>
      <c r="F95" s="24">
        <f>20/3*2</f>
        <v>13.333333333333334</v>
      </c>
      <c r="G95" s="23"/>
      <c r="H95" s="7" t="e">
        <f t="shared" ref="H95:H99" si="7">F95/G95</f>
        <v>#DIV/0!</v>
      </c>
    </row>
    <row r="96" spans="1:8" x14ac:dyDescent="0.25">
      <c r="C96" s="9"/>
      <c r="D96" s="28"/>
      <c r="E96" s="27"/>
      <c r="F96" s="25"/>
      <c r="G96" s="23"/>
      <c r="H96" s="7" t="e">
        <f t="shared" si="7"/>
        <v>#DIV/0!</v>
      </c>
    </row>
    <row r="97" spans="3:8" x14ac:dyDescent="0.25">
      <c r="C97" s="9"/>
      <c r="D97" s="28"/>
      <c r="E97" s="27"/>
      <c r="F97" s="25"/>
      <c r="G97" s="23"/>
      <c r="H97" s="7" t="e">
        <f t="shared" si="7"/>
        <v>#DIV/0!</v>
      </c>
    </row>
    <row r="98" spans="3:8" x14ac:dyDescent="0.25">
      <c r="C98" s="9"/>
      <c r="D98" s="28"/>
      <c r="E98" s="27"/>
      <c r="F98" s="25"/>
      <c r="G98" s="23"/>
      <c r="H98" s="7" t="e">
        <f t="shared" si="7"/>
        <v>#DIV/0!</v>
      </c>
    </row>
    <row r="99" spans="3:8" x14ac:dyDescent="0.25">
      <c r="C99" s="9"/>
      <c r="D99" s="28"/>
      <c r="E99" s="27"/>
      <c r="F99" s="25"/>
      <c r="G99" s="23"/>
      <c r="H99" s="7" t="e">
        <f t="shared" si="7"/>
        <v>#DIV/0!</v>
      </c>
    </row>
  </sheetData>
  <mergeCells count="18">
    <mergeCell ref="A52:A54"/>
    <mergeCell ref="A55:A64"/>
    <mergeCell ref="A21:A27"/>
    <mergeCell ref="A28:A32"/>
    <mergeCell ref="A33:A37"/>
    <mergeCell ref="A38:A41"/>
    <mergeCell ref="A42:A51"/>
    <mergeCell ref="A7:A9"/>
    <mergeCell ref="A10:A12"/>
    <mergeCell ref="A13:A14"/>
    <mergeCell ref="A15:A17"/>
    <mergeCell ref="A18:A20"/>
    <mergeCell ref="A65:A68"/>
    <mergeCell ref="A69:A75"/>
    <mergeCell ref="A76:A88"/>
    <mergeCell ref="A89:A92"/>
    <mergeCell ref="D94:F94"/>
    <mergeCell ref="B55:B88"/>
  </mergeCells>
  <conditionalFormatting sqref="H1:H2 H4:H28 H38:H76">
    <cfRule type="iconSet" priority="9">
      <iconSet>
        <cfvo type="percent" val="0"/>
        <cfvo type="percent" val="33"/>
        <cfvo type="percent" val="67"/>
      </iconSet>
    </cfRule>
  </conditionalFormatting>
  <conditionalFormatting sqref="H89:H92">
    <cfRule type="iconSet" priority="7">
      <iconSet>
        <cfvo type="percent" val="0"/>
        <cfvo type="percent" val="33"/>
        <cfvo type="percent" val="67"/>
      </iconSet>
    </cfRule>
  </conditionalFormatting>
  <conditionalFormatting sqref="H94:H99">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conditionalFormatting sqref="F7">
    <cfRule type="expression" dxfId="12" priority="3">
      <formula>$F$7*3=$G$7</formula>
    </cfRule>
  </conditionalFormatting>
  <conditionalFormatting sqref="F1:F1048576">
    <cfRule type="expression" priority="1">
      <formula>$F:$F*3=$G:$G</formula>
    </cfRule>
    <cfRule type="expression" priority="2">
      <formula>$F$7*3=$G$7</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Главная!$AE$13:$AE$22</xm:f>
          </x14:formula1>
          <xm:sqref>E3</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6">
    <tabColor rgb="FF00B0F0"/>
  </sheetPr>
  <dimension ref="A1:H99"/>
  <sheetViews>
    <sheetView topLeftCell="A22" workbookViewId="0">
      <selection activeCell="A22" sqref="A1:C1048576"/>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201</v>
      </c>
    </row>
    <row r="4" spans="1:8" x14ac:dyDescent="0.25">
      <c r="A4" t="s">
        <v>81</v>
      </c>
      <c r="D4" s="12" t="s">
        <v>75</v>
      </c>
      <c r="E4" s="10">
        <f>F89</f>
        <v>63.882079002092112</v>
      </c>
      <c r="F4" t="s">
        <v>138</v>
      </c>
    </row>
    <row r="5" spans="1:8" x14ac:dyDescent="0.25">
      <c r="D5" s="12"/>
      <c r="E5" s="4"/>
    </row>
    <row r="6" spans="1:8" x14ac:dyDescent="0.25">
      <c r="A6" t="s">
        <v>7</v>
      </c>
      <c r="D6" s="12" t="s">
        <v>25</v>
      </c>
      <c r="E6" s="4" t="s">
        <v>21</v>
      </c>
      <c r="G6" t="s">
        <v>20</v>
      </c>
      <c r="H6" t="s">
        <v>42</v>
      </c>
    </row>
    <row r="7" spans="1:8" ht="30" customHeight="1" x14ac:dyDescent="0.25">
      <c r="A7" s="78" t="s">
        <v>104</v>
      </c>
      <c r="B7" s="50"/>
      <c r="C7" s="49" t="s">
        <v>98</v>
      </c>
      <c r="D7" s="13" t="s">
        <v>99</v>
      </c>
      <c r="E7" s="5"/>
      <c r="F7" s="1">
        <f>IFERROR(IF(F9/F8&lt;=0.1,0,IF(F9/F8&gt;=0.5,1,(F9/F8-0.1)/0.4))*G7,G7/3)</f>
        <v>10</v>
      </c>
      <c r="G7" s="2">
        <v>10</v>
      </c>
      <c r="H7" s="7">
        <f>F7/G7</f>
        <v>1</v>
      </c>
    </row>
    <row r="8" spans="1:8" x14ac:dyDescent="0.25">
      <c r="A8" s="78"/>
      <c r="B8" s="50"/>
      <c r="C8" s="50"/>
      <c r="D8" s="12" t="s">
        <v>100</v>
      </c>
      <c r="E8" s="4">
        <f>$E$2-2</f>
        <v>2020</v>
      </c>
      <c r="F8" s="22">
        <v>182</v>
      </c>
      <c r="H8" s="7"/>
    </row>
    <row r="9" spans="1:8" x14ac:dyDescent="0.25">
      <c r="A9" s="78"/>
      <c r="B9" s="50"/>
      <c r="C9" s="49"/>
      <c r="D9" s="19" t="s">
        <v>101</v>
      </c>
      <c r="E9" s="4">
        <f>$E$2-2</f>
        <v>2020</v>
      </c>
      <c r="F9" s="39">
        <v>95</v>
      </c>
      <c r="G9" s="20"/>
      <c r="H9" s="7"/>
    </row>
    <row r="10" spans="1:8" ht="15" customHeight="1" x14ac:dyDescent="0.25">
      <c r="A10" s="82" t="s">
        <v>235</v>
      </c>
      <c r="B10" s="52"/>
      <c r="C10" s="51" t="s">
        <v>103</v>
      </c>
      <c r="D10" s="1" t="s">
        <v>102</v>
      </c>
      <c r="F10" s="1">
        <f>IFERROR(IF(F11/F12&lt;=1.5,0,IF(F11/F12&gt;=10,1,(F11/F12-1.5)/8.5))*G10,G10/3)</f>
        <v>1.6262975778546713</v>
      </c>
      <c r="G10" s="1">
        <v>5</v>
      </c>
      <c r="H10" s="7">
        <f t="shared" ref="H10:H76" si="0">F10/G10</f>
        <v>0.32525951557093424</v>
      </c>
    </row>
    <row r="11" spans="1:8" x14ac:dyDescent="0.25">
      <c r="A11" s="82"/>
      <c r="B11" s="52"/>
      <c r="C11" s="52"/>
      <c r="D11" t="s">
        <v>105</v>
      </c>
      <c r="E11" s="4">
        <f>$E$2-2</f>
        <v>2020</v>
      </c>
      <c r="F11" s="22">
        <v>145</v>
      </c>
      <c r="H11" s="7"/>
    </row>
    <row r="12" spans="1:8" x14ac:dyDescent="0.25">
      <c r="A12" s="82"/>
      <c r="B12" s="52"/>
      <c r="C12" s="52"/>
      <c r="D12" t="s">
        <v>109</v>
      </c>
      <c r="E12" s="4">
        <f>$E$2-2</f>
        <v>2020</v>
      </c>
      <c r="F12" s="22">
        <v>34</v>
      </c>
      <c r="H12" s="7"/>
    </row>
    <row r="13" spans="1:8" x14ac:dyDescent="0.25">
      <c r="A13" s="78" t="s">
        <v>111</v>
      </c>
      <c r="B13" s="50"/>
      <c r="C13" s="49" t="s">
        <v>107</v>
      </c>
      <c r="D13" s="1" t="s">
        <v>108</v>
      </c>
      <c r="E13" s="1"/>
      <c r="F13" s="1">
        <f>IFERROR(IF(F14/F12&lt;=0,0,IF(F14/F12&gt;=0.25,1,F14/F12/0.25))*G13,G13/3)</f>
        <v>2.3529411764705883</v>
      </c>
      <c r="G13" s="1">
        <v>5</v>
      </c>
      <c r="H13" s="7">
        <f t="shared" si="0"/>
        <v>0.47058823529411764</v>
      </c>
    </row>
    <row r="14" spans="1:8" x14ac:dyDescent="0.25">
      <c r="A14" s="78"/>
      <c r="B14" s="50"/>
      <c r="C14" s="50"/>
      <c r="D14" t="s">
        <v>110</v>
      </c>
      <c r="E14" s="4">
        <f>$E$2-2</f>
        <v>2020</v>
      </c>
      <c r="F14" s="22">
        <v>4</v>
      </c>
      <c r="H14" s="7"/>
    </row>
    <row r="15" spans="1:8" x14ac:dyDescent="0.25">
      <c r="A15" s="82" t="s">
        <v>115</v>
      </c>
      <c r="B15" s="66"/>
      <c r="C15" s="67" t="s">
        <v>112</v>
      </c>
      <c r="D15" s="1" t="s">
        <v>2</v>
      </c>
      <c r="E15" s="60"/>
      <c r="F15" s="11">
        <f>IFERROR(IF(F16/F17*100&lt;=80,0,IF(F16/F17*100&gt;=100,1,(F16/F17*100-80)/20))*G15,G15/3)</f>
        <v>5</v>
      </c>
      <c r="G15" s="1">
        <v>5</v>
      </c>
      <c r="H15" s="7">
        <f t="shared" si="0"/>
        <v>1</v>
      </c>
    </row>
    <row r="16" spans="1:8" x14ac:dyDescent="0.25">
      <c r="A16" s="82"/>
      <c r="B16" s="66"/>
      <c r="C16" s="66"/>
      <c r="D16" t="s">
        <v>113</v>
      </c>
      <c r="E16" s="4" t="str">
        <f>$E$2-2&amp;" "&amp;$E$2-3&amp;" "&amp;$E$2-4</f>
        <v>2020 2019 2018</v>
      </c>
      <c r="F16" s="22">
        <v>62</v>
      </c>
      <c r="H16" s="7"/>
    </row>
    <row r="17" spans="1:8" x14ac:dyDescent="0.25">
      <c r="A17" s="82"/>
      <c r="B17" s="66"/>
      <c r="C17" s="66"/>
      <c r="D17" t="s">
        <v>114</v>
      </c>
      <c r="E17" s="4" t="str">
        <f>$E$2-2&amp;" "&amp;$E$2-3&amp;" "&amp;$E$2-4</f>
        <v>2020 2019 2018</v>
      </c>
      <c r="F17" s="22">
        <v>62</v>
      </c>
      <c r="H17" s="7"/>
    </row>
    <row r="18" spans="1:8" x14ac:dyDescent="0.25">
      <c r="A18" s="78" t="s">
        <v>17</v>
      </c>
      <c r="B18" s="50"/>
      <c r="C18" s="49" t="s">
        <v>116</v>
      </c>
      <c r="D18" s="13" t="s">
        <v>14</v>
      </c>
      <c r="E18" s="5"/>
      <c r="F18" s="1">
        <f>IFERROR(IF(F19/F20&gt;=1,1,IF(F19/F20&lt;=0,0,(F19/F20)))*G18,G18/3)</f>
        <v>0</v>
      </c>
      <c r="G18" s="1">
        <v>2</v>
      </c>
      <c r="H18" s="7">
        <f t="shared" si="0"/>
        <v>0</v>
      </c>
    </row>
    <row r="19" spans="1:8" x14ac:dyDescent="0.25">
      <c r="A19" s="78"/>
      <c r="B19" s="50"/>
      <c r="C19" s="50"/>
      <c r="D19" s="12" t="s">
        <v>15</v>
      </c>
      <c r="E19" s="4">
        <f>$E$2-2</f>
        <v>2020</v>
      </c>
      <c r="F19" s="22">
        <v>0</v>
      </c>
      <c r="H19" s="7"/>
    </row>
    <row r="20" spans="1:8" x14ac:dyDescent="0.25">
      <c r="A20" s="78"/>
      <c r="B20" s="50"/>
      <c r="C20" s="50"/>
      <c r="D20" s="12" t="s">
        <v>16</v>
      </c>
      <c r="E20" s="4">
        <f>$E$2-2</f>
        <v>2020</v>
      </c>
      <c r="F20" s="22">
        <v>1</v>
      </c>
      <c r="H20" s="7"/>
    </row>
    <row r="21" spans="1:8" x14ac:dyDescent="0.25">
      <c r="A21" s="84" t="s">
        <v>119</v>
      </c>
      <c r="B21" s="52"/>
      <c r="C21" s="51" t="s">
        <v>118</v>
      </c>
      <c r="D21" s="13" t="s">
        <v>117</v>
      </c>
      <c r="E21" s="1"/>
      <c r="F21" s="1">
        <f>IFERROR(IF((F25+0.25*F26+0.1*F27)/(F22+0.25*F23+0.1*F24)&gt;=0.25,1,IF((F25+0.25*F26+0.1*F27)/(F22+0.25*F23+0.1*F24)&lt;=0,0,(F25+0.25*F26+0.1*F27)/(F22+0.25*F23+0.1*F24)/0.25))*G21,G21/3)</f>
        <v>1.3090909090909091</v>
      </c>
      <c r="G21" s="1">
        <f>IF(OR(Главная!AE14=E3,Главная!AE15=E3,Главная!AE16=E3,Главная!AE17=E3,Главная!AE22=E3),6,9)</f>
        <v>6</v>
      </c>
      <c r="H21" s="7">
        <f t="shared" si="0"/>
        <v>0.21818181818181817</v>
      </c>
    </row>
    <row r="22" spans="1:8" x14ac:dyDescent="0.25">
      <c r="A22" s="84"/>
      <c r="B22" s="52"/>
      <c r="C22" s="52"/>
      <c r="D22" s="12" t="s">
        <v>27</v>
      </c>
      <c r="E22" s="4">
        <f t="shared" ref="E22:E41" si="1">$E$2-2</f>
        <v>2020</v>
      </c>
      <c r="F22" s="22">
        <v>55</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3</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0</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0.95468053491827631</v>
      </c>
      <c r="G28" s="1">
        <f>IF(OR(Главная!AE14=E3,Главная!AE15=E3,Главная!AE16=E3,Главная!AE17=E3,Главная!AE22=E3),6,0)</f>
        <v>6</v>
      </c>
      <c r="H28" s="7">
        <f t="shared" si="0"/>
        <v>0.15911342248637939</v>
      </c>
    </row>
    <row r="29" spans="1:8" x14ac:dyDescent="0.25">
      <c r="A29" s="78"/>
      <c r="B29" s="50"/>
      <c r="C29" s="50"/>
      <c r="D29" s="12" t="s">
        <v>86</v>
      </c>
      <c r="E29" s="14">
        <f>$E$2-3</f>
        <v>2019</v>
      </c>
      <c r="F29" s="22">
        <v>24</v>
      </c>
      <c r="H29" s="7"/>
    </row>
    <row r="30" spans="1:8" x14ac:dyDescent="0.25">
      <c r="A30" s="78"/>
      <c r="B30" s="50"/>
      <c r="C30" s="50"/>
      <c r="D30" s="12" t="s">
        <v>87</v>
      </c>
      <c r="E30" s="14">
        <f t="shared" ref="E30:E34" si="2">$E$2-3</f>
        <v>2019</v>
      </c>
      <c r="F30" s="22">
        <v>161</v>
      </c>
      <c r="H30" s="7"/>
    </row>
    <row r="31" spans="1:8" x14ac:dyDescent="0.25">
      <c r="A31" s="78"/>
      <c r="B31" s="50"/>
      <c r="C31" s="50"/>
      <c r="D31" s="12" t="s">
        <v>88</v>
      </c>
      <c r="E31" s="14">
        <f t="shared" si="2"/>
        <v>2019</v>
      </c>
      <c r="F31" s="22">
        <v>0</v>
      </c>
      <c r="H31" s="7"/>
    </row>
    <row r="32" spans="1:8" x14ac:dyDescent="0.25">
      <c r="A32" s="78"/>
      <c r="B32" s="50"/>
      <c r="C32" s="50"/>
      <c r="D32" s="12" t="s">
        <v>89</v>
      </c>
      <c r="E32" s="14">
        <f t="shared" si="2"/>
        <v>2019</v>
      </c>
      <c r="F32" s="22">
        <v>0</v>
      </c>
      <c r="H32" s="7"/>
    </row>
    <row r="33" spans="1:8" x14ac:dyDescent="0.25">
      <c r="A33" s="78" t="s">
        <v>142</v>
      </c>
      <c r="B33" s="50"/>
      <c r="C33" s="50"/>
      <c r="D33" s="12" t="s">
        <v>90</v>
      </c>
      <c r="E33" s="14">
        <f t="shared" si="2"/>
        <v>2019</v>
      </c>
      <c r="F33" s="22">
        <v>0</v>
      </c>
      <c r="H33" s="7"/>
    </row>
    <row r="34" spans="1:8" x14ac:dyDescent="0.25">
      <c r="A34" s="78"/>
      <c r="B34" s="50"/>
      <c r="C34" s="50"/>
      <c r="D34" s="12" t="s">
        <v>91</v>
      </c>
      <c r="E34" s="14">
        <f t="shared" si="2"/>
        <v>2019</v>
      </c>
      <c r="F34" s="22">
        <v>0</v>
      </c>
      <c r="H34" s="7"/>
    </row>
    <row r="35" spans="1:8" x14ac:dyDescent="0.25">
      <c r="A35" s="78"/>
      <c r="B35" s="50"/>
      <c r="C35" s="50"/>
      <c r="D35" s="12" t="s">
        <v>92</v>
      </c>
      <c r="E35" s="4">
        <f t="shared" ref="E35:E37" si="3">$E$2-2</f>
        <v>2020</v>
      </c>
      <c r="F35" s="22">
        <f>'09.03.00'!E35</f>
        <v>478</v>
      </c>
      <c r="H35" s="7"/>
    </row>
    <row r="36" spans="1:8" x14ac:dyDescent="0.25">
      <c r="A36" s="78"/>
      <c r="B36" s="50"/>
      <c r="C36" s="50"/>
      <c r="D36" s="12" t="s">
        <v>93</v>
      </c>
      <c r="E36" s="4">
        <f t="shared" si="3"/>
        <v>2020</v>
      </c>
      <c r="F36" s="22">
        <f>'09.03.00'!E36</f>
        <v>63</v>
      </c>
      <c r="H36" s="7"/>
    </row>
    <row r="37" spans="1:8" x14ac:dyDescent="0.25">
      <c r="A37" s="78"/>
      <c r="B37" s="50"/>
      <c r="C37" s="50"/>
      <c r="D37" s="12" t="s">
        <v>94</v>
      </c>
      <c r="E37" s="4">
        <f t="shared" si="3"/>
        <v>2020</v>
      </c>
      <c r="F37" s="22">
        <f>'09.03.00'!E37</f>
        <v>110</v>
      </c>
      <c r="H37" s="7"/>
    </row>
    <row r="38" spans="1:8" x14ac:dyDescent="0.25">
      <c r="A38" s="82" t="s">
        <v>123</v>
      </c>
      <c r="B38" s="51"/>
      <c r="C38" s="51" t="s">
        <v>120</v>
      </c>
      <c r="D38" s="13" t="s">
        <v>37</v>
      </c>
      <c r="E38" s="5"/>
      <c r="F38" s="1">
        <f>IFERROR(IF((F39+0.25*F40+0.1*F41)/(F22+0.25*F23+0.1*F24)&gt;=0.5,1,IF((F39+0.25*F40+0.1*F41)/(F22+0.25*F23+0.1*F24)&lt;=0,0,(F39+0.25*F40+0.1*F41)/(F22+0.25*F23+0.1*F24)/0.5))*G38,G38/3)</f>
        <v>0</v>
      </c>
      <c r="G38" s="1">
        <f>IF(OR(Главная!AE14=E3,Главная!AE15=E3,Главная!AE16=E3,Главная!AE17=E3,Главная!AE22=E3),6,9)</f>
        <v>6</v>
      </c>
      <c r="H38" s="7">
        <f t="shared" si="0"/>
        <v>0</v>
      </c>
    </row>
    <row r="39" spans="1:8" x14ac:dyDescent="0.25">
      <c r="A39" s="82"/>
      <c r="B39" s="52"/>
      <c r="C39" s="52"/>
      <c r="D39" s="12" t="s">
        <v>121</v>
      </c>
      <c r="E39" s="4">
        <f t="shared" si="1"/>
        <v>2020</v>
      </c>
      <c r="F39" s="22">
        <v>0</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5</v>
      </c>
      <c r="G52" s="1">
        <v>5</v>
      </c>
      <c r="H52" s="7">
        <f t="shared" si="0"/>
        <v>1</v>
      </c>
    </row>
    <row r="53" spans="1:8" x14ac:dyDescent="0.25">
      <c r="A53" s="84"/>
      <c r="B53" s="52"/>
      <c r="C53" s="52"/>
      <c r="D53" s="12" t="s">
        <v>131</v>
      </c>
      <c r="E53" s="8" t="str">
        <f>"на 01.10."&amp;$E$2-3</f>
        <v>на 01.10.2019</v>
      </c>
      <c r="F53" s="22">
        <v>22</v>
      </c>
      <c r="H53" s="7"/>
    </row>
    <row r="54" spans="1:8" x14ac:dyDescent="0.25">
      <c r="A54" s="84"/>
      <c r="B54" s="52"/>
      <c r="C54" s="52"/>
      <c r="D54" s="12" t="s">
        <v>132</v>
      </c>
      <c r="E54" s="4" t="str">
        <f>"на 01.10."&amp;$E$2-2</f>
        <v>на 01.10.2020</v>
      </c>
      <c r="F54" s="22">
        <v>20</v>
      </c>
      <c r="H54" s="7"/>
    </row>
    <row r="55" spans="1:8" ht="15" customHeight="1" x14ac:dyDescent="0.25">
      <c r="A55" s="88" t="s">
        <v>59</v>
      </c>
      <c r="B55" s="91" t="s">
        <v>140</v>
      </c>
      <c r="C55" s="11" t="s">
        <v>134</v>
      </c>
      <c r="D55" s="13" t="s">
        <v>53</v>
      </c>
      <c r="E55" s="5"/>
      <c r="F55" s="1">
        <f>IFERROR(IF((F62/(F56+F59)+F63/(F57+F60)+F64/(F58+F61))/3*100&lt;=5,0,IF((F62/(F56+F59)+F63/(F57+F60)+F64/(F58+F61))/3*100&gt;=100,1,((F62/(F56+F59)+F63/(F57+F60)+F64/(F58+F61))/3*100-5)/95))*G55,"")</f>
        <v>5.5461718005586649</v>
      </c>
      <c r="G55" s="1">
        <f>IF(OR(Главная!AE13=E3,Главная!AE14=E3,Главная!AE15=E3,Главная!AE21=E3,Главная!AE22=E3),8,0)</f>
        <v>8</v>
      </c>
      <c r="H55" s="7">
        <f t="shared" si="0"/>
        <v>0.69327147506983311</v>
      </c>
    </row>
    <row r="56" spans="1:8" x14ac:dyDescent="0.25">
      <c r="A56" s="88"/>
      <c r="B56" s="92"/>
      <c r="C56" s="9"/>
      <c r="D56" s="12" t="s">
        <v>54</v>
      </c>
      <c r="E56" s="8">
        <f>$E$2-5</f>
        <v>2017</v>
      </c>
      <c r="F56" s="38">
        <v>1051.2</v>
      </c>
      <c r="H56" s="7"/>
    </row>
    <row r="57" spans="1:8" x14ac:dyDescent="0.25">
      <c r="A57" s="88"/>
      <c r="B57" s="92"/>
      <c r="C57" s="9"/>
      <c r="D57" s="12" t="s">
        <v>54</v>
      </c>
      <c r="E57" s="8">
        <f>$E$2-4</f>
        <v>2018</v>
      </c>
      <c r="F57" s="38">
        <v>1047.5</v>
      </c>
      <c r="H57" s="7"/>
    </row>
    <row r="58" spans="1:8" x14ac:dyDescent="0.25">
      <c r="A58" s="88"/>
      <c r="B58" s="92"/>
      <c r="C58" s="9"/>
      <c r="D58" s="12" t="s">
        <v>54</v>
      </c>
      <c r="E58" s="8">
        <f>$E$2-3</f>
        <v>2019</v>
      </c>
      <c r="F58" s="38">
        <v>1059.5</v>
      </c>
      <c r="H58" s="7"/>
    </row>
    <row r="59" spans="1:8" x14ac:dyDescent="0.25">
      <c r="A59" s="88"/>
      <c r="B59" s="92"/>
      <c r="C59" s="9"/>
      <c r="D59" s="12" t="s">
        <v>55</v>
      </c>
      <c r="E59" s="8">
        <f>$E$2-5</f>
        <v>2017</v>
      </c>
      <c r="F59" s="38">
        <v>56.2</v>
      </c>
      <c r="H59" s="7"/>
    </row>
    <row r="60" spans="1:8" x14ac:dyDescent="0.25">
      <c r="A60" s="88"/>
      <c r="B60" s="92"/>
      <c r="C60" s="9"/>
      <c r="D60" s="12" t="s">
        <v>55</v>
      </c>
      <c r="E60" s="8">
        <f>$E$2-4</f>
        <v>2018</v>
      </c>
      <c r="F60" s="38">
        <v>54.6</v>
      </c>
      <c r="H60" s="7"/>
    </row>
    <row r="61" spans="1:8" x14ac:dyDescent="0.25">
      <c r="A61" s="88"/>
      <c r="B61" s="92"/>
      <c r="C61" s="9"/>
      <c r="D61" s="12" t="s">
        <v>55</v>
      </c>
      <c r="E61" s="8">
        <f>$E$2-3</f>
        <v>2019</v>
      </c>
      <c r="F61" s="38">
        <v>56.5</v>
      </c>
      <c r="H61" s="7"/>
    </row>
    <row r="62" spans="1:8" x14ac:dyDescent="0.25">
      <c r="A62" s="88"/>
      <c r="B62" s="92"/>
      <c r="C62" s="9"/>
      <c r="D62" s="12" t="s">
        <v>56</v>
      </c>
      <c r="E62" s="8">
        <f>$E$2-5</f>
        <v>2017</v>
      </c>
      <c r="F62" s="38">
        <v>380</v>
      </c>
      <c r="H62" s="7"/>
    </row>
    <row r="63" spans="1:8" x14ac:dyDescent="0.25">
      <c r="A63" s="88"/>
      <c r="B63" s="92"/>
      <c r="C63" s="9"/>
      <c r="D63" s="12" t="s">
        <v>56</v>
      </c>
      <c r="E63" s="8">
        <f>$E$2-4</f>
        <v>2018</v>
      </c>
      <c r="F63" s="38">
        <v>830</v>
      </c>
      <c r="H63" s="7"/>
    </row>
    <row r="64" spans="1:8" x14ac:dyDescent="0.25">
      <c r="A64" s="88"/>
      <c r="B64" s="92"/>
      <c r="C64" s="9"/>
      <c r="D64" s="12" t="s">
        <v>56</v>
      </c>
      <c r="E64" s="8">
        <f>$E$2-3</f>
        <v>2019</v>
      </c>
      <c r="F64" s="38">
        <v>1149</v>
      </c>
      <c r="H64" s="7"/>
    </row>
    <row r="65" spans="1:8" x14ac:dyDescent="0.25">
      <c r="A65" s="87" t="s">
        <v>79</v>
      </c>
      <c r="B65" s="92"/>
      <c r="C65" s="11" t="s">
        <v>135</v>
      </c>
      <c r="D65" s="35" t="s">
        <v>57</v>
      </c>
      <c r="E65" s="36"/>
      <c r="F65" s="1">
        <f>IFERROR(IF((F66/(F56+F59)+F67/(F57+F60)+F68/(F58+F61))/3&lt;=100,0,IF((F66/(F56+F59)+F67/(F57+F60)+F68/(F58+F61))/3&gt;=1000,1,((F66/(F56+F59)+F67/(F57+F60)+F68/(F58+F61))/3-100)/900))*G65," ")</f>
        <v>2.4965196272262826</v>
      </c>
      <c r="G65" s="1">
        <f>IF(OR(Главная!AE16=E3,Главная!AE17=E3,Главная!AE19=E3),10,IF(OR(Главная!AE13=E3,Главная!AE14=E3,Главная!AE15=E3,Главная!AE21=E3,Главная!AE22=E3),8,0))</f>
        <v>8</v>
      </c>
      <c r="H65" s="7">
        <f t="shared" si="0"/>
        <v>0.31206495340328533</v>
      </c>
    </row>
    <row r="66" spans="1:8" x14ac:dyDescent="0.25">
      <c r="A66" s="87"/>
      <c r="B66" s="92"/>
      <c r="C66" s="9"/>
      <c r="D66" s="37" t="s">
        <v>161</v>
      </c>
      <c r="E66" s="8">
        <v>2017</v>
      </c>
      <c r="F66" s="38">
        <v>265431.7</v>
      </c>
      <c r="H66" s="7"/>
    </row>
    <row r="67" spans="1:8" x14ac:dyDescent="0.25">
      <c r="A67" s="87"/>
      <c r="B67" s="92"/>
      <c r="C67" s="9"/>
      <c r="D67" s="37" t="s">
        <v>161</v>
      </c>
      <c r="E67" s="8">
        <v>2018</v>
      </c>
      <c r="F67" s="38">
        <v>382808.6</v>
      </c>
      <c r="H67" s="7"/>
    </row>
    <row r="68" spans="1:8"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2.8617026630057016</v>
      </c>
      <c r="G69" s="1">
        <f>IF(OR(Главная!AE16=E3,Главная!AE17=E3,Главная!AE19=E3),10,IF(OR(Главная!AE13=E3,Главная!AE14=E3,Главная!AE15=E3,Главная!AE21=E3,Главная!AE22=E3),7,15))</f>
        <v>7</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6.7346747129670161</v>
      </c>
      <c r="G76" s="1">
        <f>IF(OR(Главная!AE16=E3,Главная!AE17=E3,Главная!AE19=E3),10,IF(OR(Главная!AE13=E3,Главная!AE14=E3,Главная!AE15=E3,Главная!AE21=E3,Главная!AE22=E3),7,15))</f>
        <v>7</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63.882079002092112</v>
      </c>
      <c r="G89" s="1">
        <v>100</v>
      </c>
      <c r="H89" s="7">
        <f t="shared" ref="H89" si="5">F89/G89</f>
        <v>0.63882079002092107</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row r="94" spans="1:8" x14ac:dyDescent="0.25">
      <c r="C94" s="11" t="s">
        <v>96</v>
      </c>
      <c r="D94" s="86" t="s">
        <v>97</v>
      </c>
      <c r="E94" s="86"/>
      <c r="F94" s="86"/>
      <c r="G94" s="11"/>
      <c r="H94" s="7"/>
    </row>
    <row r="95" spans="1:8" x14ac:dyDescent="0.25">
      <c r="C95" s="9"/>
      <c r="D95" s="26" t="s">
        <v>124</v>
      </c>
      <c r="E95" s="65" t="s">
        <v>230</v>
      </c>
      <c r="F95" s="24">
        <f>20/3*2</f>
        <v>13.333333333333334</v>
      </c>
      <c r="G95" s="23"/>
      <c r="H95" s="7" t="e">
        <f t="shared" ref="H95:H99" si="7">F95/G95</f>
        <v>#DIV/0!</v>
      </c>
    </row>
    <row r="96" spans="1:8" x14ac:dyDescent="0.25">
      <c r="C96" s="9"/>
      <c r="D96" s="28"/>
      <c r="E96" s="27"/>
      <c r="F96" s="25"/>
      <c r="G96" s="23"/>
      <c r="H96" s="7" t="e">
        <f t="shared" si="7"/>
        <v>#DIV/0!</v>
      </c>
    </row>
    <row r="97" spans="3:8" x14ac:dyDescent="0.25">
      <c r="C97" s="9"/>
      <c r="D97" s="28"/>
      <c r="E97" s="27"/>
      <c r="F97" s="25"/>
      <c r="G97" s="23"/>
      <c r="H97" s="7" t="e">
        <f t="shared" si="7"/>
        <v>#DIV/0!</v>
      </c>
    </row>
    <row r="98" spans="3:8" x14ac:dyDescent="0.25">
      <c r="C98" s="9"/>
      <c r="D98" s="28"/>
      <c r="E98" s="27"/>
      <c r="F98" s="25"/>
      <c r="G98" s="23"/>
      <c r="H98" s="7" t="e">
        <f t="shared" si="7"/>
        <v>#DIV/0!</v>
      </c>
    </row>
    <row r="99" spans="3:8" x14ac:dyDescent="0.25">
      <c r="C99" s="9"/>
      <c r="D99" s="28"/>
      <c r="E99" s="27"/>
      <c r="F99" s="25"/>
      <c r="G99" s="23"/>
      <c r="H99" s="7" t="e">
        <f t="shared" si="7"/>
        <v>#DIV/0!</v>
      </c>
    </row>
  </sheetData>
  <mergeCells count="18">
    <mergeCell ref="A65:A68"/>
    <mergeCell ref="A69:A75"/>
    <mergeCell ref="A7:A9"/>
    <mergeCell ref="A10:A12"/>
    <mergeCell ref="A13:A14"/>
    <mergeCell ref="B55:B88"/>
    <mergeCell ref="D94:F94"/>
    <mergeCell ref="A15:A17"/>
    <mergeCell ref="A18:A20"/>
    <mergeCell ref="A21:A27"/>
    <mergeCell ref="A28:A32"/>
    <mergeCell ref="A33:A37"/>
    <mergeCell ref="A76:A88"/>
    <mergeCell ref="A89:A92"/>
    <mergeCell ref="A38:A41"/>
    <mergeCell ref="A42:A51"/>
    <mergeCell ref="A52:A54"/>
    <mergeCell ref="A55:A64"/>
  </mergeCells>
  <conditionalFormatting sqref="H1:H2 H4:H28 H38:H76">
    <cfRule type="iconSet" priority="8">
      <iconSet>
        <cfvo type="percent" val="0"/>
        <cfvo type="percent" val="33"/>
        <cfvo type="percent" val="67"/>
      </iconSet>
    </cfRule>
  </conditionalFormatting>
  <conditionalFormatting sqref="H89:H92">
    <cfRule type="iconSet" priority="7">
      <iconSet>
        <cfvo type="percent" val="0"/>
        <cfvo type="percent" val="33"/>
        <cfvo type="percent" val="67"/>
      </iconSet>
    </cfRule>
  </conditionalFormatting>
  <conditionalFormatting sqref="H94:H99">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conditionalFormatting sqref="F7">
    <cfRule type="expression" dxfId="11" priority="3">
      <formula>$F$7*3=$G$7</formula>
    </cfRule>
  </conditionalFormatting>
  <conditionalFormatting sqref="F1:F1048576">
    <cfRule type="expression" priority="1">
      <formula>$F:$F*3=$G:$G</formula>
    </cfRule>
    <cfRule type="expression" priority="2">
      <formula>$F$7*3=$G$7</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Главная!$AE$13:$AE$22</xm:f>
          </x14:formula1>
          <xm:sqref>E3</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7">
    <tabColor rgb="FF00B0F0"/>
  </sheetPr>
  <dimension ref="A1:H99"/>
  <sheetViews>
    <sheetView workbookViewId="0">
      <selection activeCell="D9" sqref="D9"/>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202</v>
      </c>
    </row>
    <row r="4" spans="1:8" x14ac:dyDescent="0.25">
      <c r="A4" t="s">
        <v>81</v>
      </c>
      <c r="D4" s="12" t="s">
        <v>75</v>
      </c>
      <c r="E4" s="10">
        <f>F89</f>
        <v>67.416013342965229</v>
      </c>
      <c r="F4" t="s">
        <v>138</v>
      </c>
    </row>
    <row r="5" spans="1:8" x14ac:dyDescent="0.25">
      <c r="D5" s="12"/>
      <c r="E5" s="4"/>
    </row>
    <row r="6" spans="1:8" x14ac:dyDescent="0.25">
      <c r="A6" t="s">
        <v>7</v>
      </c>
      <c r="D6" s="12" t="s">
        <v>25</v>
      </c>
      <c r="E6" s="4" t="s">
        <v>21</v>
      </c>
      <c r="G6" t="s">
        <v>20</v>
      </c>
      <c r="H6" t="s">
        <v>42</v>
      </c>
    </row>
    <row r="7" spans="1:8" ht="30" customHeight="1" x14ac:dyDescent="0.25">
      <c r="A7" s="78" t="s">
        <v>104</v>
      </c>
      <c r="B7" s="50"/>
      <c r="C7" s="49" t="s">
        <v>98</v>
      </c>
      <c r="D7" s="13" t="s">
        <v>99</v>
      </c>
      <c r="E7" s="5"/>
      <c r="F7" s="1">
        <f>IFERROR(IF(F9/F8&lt;=0.1,0,IF(F9/F8&gt;=0.5,1,(F9/F8-0.1)/0.4))*G7,G7/3)</f>
        <v>10</v>
      </c>
      <c r="G7" s="2">
        <v>10</v>
      </c>
      <c r="H7" s="7">
        <f>F7/G7</f>
        <v>1</v>
      </c>
    </row>
    <row r="8" spans="1:8" x14ac:dyDescent="0.25">
      <c r="A8" s="78"/>
      <c r="B8" s="50"/>
      <c r="C8" s="50"/>
      <c r="D8" s="12" t="s">
        <v>100</v>
      </c>
      <c r="E8" s="4">
        <f>$E$2-2</f>
        <v>2020</v>
      </c>
      <c r="F8" s="22">
        <v>93</v>
      </c>
      <c r="H8" s="7"/>
    </row>
    <row r="9" spans="1:8" x14ac:dyDescent="0.25">
      <c r="A9" s="78"/>
      <c r="B9" s="50"/>
      <c r="C9" s="49"/>
      <c r="D9" s="19" t="s">
        <v>101</v>
      </c>
      <c r="E9" s="4">
        <f>$E$2-2</f>
        <v>2020</v>
      </c>
      <c r="F9" s="39">
        <v>54</v>
      </c>
      <c r="G9" s="20"/>
      <c r="H9" s="7"/>
    </row>
    <row r="10" spans="1:8" ht="15" customHeight="1" x14ac:dyDescent="0.25">
      <c r="A10" s="82" t="s">
        <v>235</v>
      </c>
      <c r="B10" s="52"/>
      <c r="C10" s="51" t="s">
        <v>103</v>
      </c>
      <c r="D10" s="1" t="s">
        <v>102</v>
      </c>
      <c r="F10" s="1">
        <f>IFERROR(IF(F11/F12&lt;=1.5,0,IF(F11/F12&gt;=10,1,(F11/F12-1.5)/8.5))*G10,G10/3)</f>
        <v>1.8166089965397922</v>
      </c>
      <c r="G10" s="1">
        <v>5</v>
      </c>
      <c r="H10" s="7">
        <f t="shared" ref="H10:H76" si="0">F10/G10</f>
        <v>0.36332179930795844</v>
      </c>
    </row>
    <row r="11" spans="1:8" x14ac:dyDescent="0.25">
      <c r="A11" s="82"/>
      <c r="B11" s="52"/>
      <c r="C11" s="52"/>
      <c r="D11" t="s">
        <v>105</v>
      </c>
      <c r="E11" s="4">
        <f>$E$2-2</f>
        <v>2020</v>
      </c>
      <c r="F11" s="22">
        <v>78</v>
      </c>
      <c r="H11" s="7"/>
    </row>
    <row r="12" spans="1:8" x14ac:dyDescent="0.25">
      <c r="A12" s="82"/>
      <c r="B12" s="52"/>
      <c r="C12" s="52"/>
      <c r="D12" t="s">
        <v>109</v>
      </c>
      <c r="E12" s="4">
        <f>$E$2-2</f>
        <v>2020</v>
      </c>
      <c r="F12" s="22">
        <v>17</v>
      </c>
      <c r="H12" s="7"/>
    </row>
    <row r="13" spans="1:8" x14ac:dyDescent="0.25">
      <c r="A13" s="78" t="s">
        <v>111</v>
      </c>
      <c r="B13" s="50"/>
      <c r="C13" s="49" t="s">
        <v>107</v>
      </c>
      <c r="D13" s="1" t="s">
        <v>108</v>
      </c>
      <c r="E13" s="1"/>
      <c r="F13" s="1">
        <f>IFERROR(IF(F14/F12&lt;=0,0,IF(F14/F12&gt;=0.25,1,F14/F12/0.25))*G13,G13/3)</f>
        <v>2.3529411764705883</v>
      </c>
      <c r="G13" s="1">
        <v>5</v>
      </c>
      <c r="H13" s="7">
        <f t="shared" si="0"/>
        <v>0.47058823529411764</v>
      </c>
    </row>
    <row r="14" spans="1:8" x14ac:dyDescent="0.25">
      <c r="A14" s="78"/>
      <c r="B14" s="50"/>
      <c r="C14" s="50"/>
      <c r="D14" t="s">
        <v>110</v>
      </c>
      <c r="E14" s="4">
        <f>$E$2-2</f>
        <v>2020</v>
      </c>
      <c r="F14" s="22">
        <v>2</v>
      </c>
      <c r="H14" s="7"/>
    </row>
    <row r="15" spans="1:8" x14ac:dyDescent="0.25">
      <c r="A15" s="82" t="s">
        <v>115</v>
      </c>
      <c r="B15" s="66"/>
      <c r="C15" s="67" t="s">
        <v>112</v>
      </c>
      <c r="D15" s="1" t="s">
        <v>2</v>
      </c>
      <c r="E15" s="60"/>
      <c r="F15" s="11">
        <f>IFERROR(IF(F16/F17*100&lt;=80,0,IF(F16/F17*100&gt;=100,1,(F16/F17*100-80)/20))*G15,G15/3)</f>
        <v>5</v>
      </c>
      <c r="G15" s="1">
        <v>5</v>
      </c>
      <c r="H15" s="7">
        <f t="shared" si="0"/>
        <v>1</v>
      </c>
    </row>
    <row r="16" spans="1:8" x14ac:dyDescent="0.25">
      <c r="A16" s="82"/>
      <c r="B16" s="66"/>
      <c r="C16" s="66"/>
      <c r="D16" t="s">
        <v>113</v>
      </c>
      <c r="E16" s="4" t="str">
        <f>$E$2-2&amp;" "&amp;$E$2-3&amp;" "&amp;$E$2-4</f>
        <v>2020 2019 2018</v>
      </c>
      <c r="F16" s="22">
        <v>36</v>
      </c>
      <c r="H16" s="7"/>
    </row>
    <row r="17" spans="1:8" x14ac:dyDescent="0.25">
      <c r="A17" s="82"/>
      <c r="B17" s="66"/>
      <c r="C17" s="66"/>
      <c r="D17" t="s">
        <v>114</v>
      </c>
      <c r="E17" s="4" t="str">
        <f>$E$2-2&amp;" "&amp;$E$2-3&amp;" "&amp;$E$2-4</f>
        <v>2020 2019 2018</v>
      </c>
      <c r="F17" s="22">
        <v>36</v>
      </c>
      <c r="H17" s="7"/>
    </row>
    <row r="18" spans="1:8" x14ac:dyDescent="0.25">
      <c r="A18" s="78" t="s">
        <v>17</v>
      </c>
      <c r="B18" s="50"/>
      <c r="C18" s="49" t="s">
        <v>116</v>
      </c>
      <c r="D18" s="13" t="s">
        <v>14</v>
      </c>
      <c r="E18" s="5"/>
      <c r="F18" s="1">
        <f>IFERROR(IF(F19/F20&gt;=1,1,IF(F19/F20&lt;=0,0,(F19/F20)))*G18,G18/3)</f>
        <v>0</v>
      </c>
      <c r="G18" s="1">
        <v>2</v>
      </c>
      <c r="H18" s="7">
        <f t="shared" si="0"/>
        <v>0</v>
      </c>
    </row>
    <row r="19" spans="1:8" x14ac:dyDescent="0.25">
      <c r="A19" s="78"/>
      <c r="B19" s="50"/>
      <c r="C19" s="50"/>
      <c r="D19" s="12" t="s">
        <v>15</v>
      </c>
      <c r="E19" s="4">
        <f>$E$2-2</f>
        <v>2020</v>
      </c>
      <c r="F19" s="22">
        <v>0</v>
      </c>
      <c r="H19" s="7"/>
    </row>
    <row r="20" spans="1:8" x14ac:dyDescent="0.25">
      <c r="A20" s="78"/>
      <c r="B20" s="50"/>
      <c r="C20" s="50"/>
      <c r="D20" s="12" t="s">
        <v>16</v>
      </c>
      <c r="E20" s="4">
        <f>$E$2-2</f>
        <v>2020</v>
      </c>
      <c r="F20" s="22">
        <v>1</v>
      </c>
      <c r="H20" s="7"/>
    </row>
    <row r="21" spans="1:8" x14ac:dyDescent="0.25">
      <c r="A21" s="84" t="s">
        <v>119</v>
      </c>
      <c r="B21" s="52"/>
      <c r="C21" s="51" t="s">
        <v>118</v>
      </c>
      <c r="D21" s="13" t="s">
        <v>117</v>
      </c>
      <c r="E21" s="1"/>
      <c r="F21" s="1">
        <f>IFERROR(IF((F25+0.25*F26+0.1*F27)/(F22+0.25*F23+0.1*F24)&gt;=0.25,1,IF((F25+0.25*F26+0.1*F27)/(F22+0.25*F23+0.1*F24)&lt;=0,0,(F25+0.25*F26+0.1*F27)/(F22+0.25*F23+0.1*F24)/0.25))*G21,G21/3)</f>
        <v>6</v>
      </c>
      <c r="G21" s="1">
        <f>IF(OR(Главная!AE14=E3,Главная!AE15=E3,Главная!AE16=E3,Главная!AE17=E3,Главная!AE22=E3),6,9)</f>
        <v>6</v>
      </c>
      <c r="H21" s="7">
        <f t="shared" si="0"/>
        <v>1</v>
      </c>
    </row>
    <row r="22" spans="1:8" x14ac:dyDescent="0.25">
      <c r="A22" s="84"/>
      <c r="B22" s="52"/>
      <c r="C22" s="52"/>
      <c r="D22" s="12" t="s">
        <v>27</v>
      </c>
      <c r="E22" s="4">
        <f t="shared" ref="E22:E41" si="1">$E$2-2</f>
        <v>2020</v>
      </c>
      <c r="F22" s="22">
        <v>27</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11</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0</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1.357394366197183</v>
      </c>
      <c r="G28" s="1">
        <f>IF(OR(Главная!AE14=E3,Главная!AE15=E3,Главная!AE16=E3,Главная!AE17=E3,Главная!AE22=E3),6,0)</f>
        <v>6</v>
      </c>
      <c r="H28" s="7">
        <f t="shared" si="0"/>
        <v>0.22623239436619716</v>
      </c>
    </row>
    <row r="29" spans="1:8" x14ac:dyDescent="0.25">
      <c r="A29" s="78"/>
      <c r="B29" s="50"/>
      <c r="C29" s="50"/>
      <c r="D29" s="12" t="s">
        <v>86</v>
      </c>
      <c r="E29" s="14">
        <f>$E$2-3</f>
        <v>2019</v>
      </c>
      <c r="F29" s="22">
        <v>24</v>
      </c>
      <c r="H29" s="7"/>
    </row>
    <row r="30" spans="1:8" x14ac:dyDescent="0.25">
      <c r="A30" s="78"/>
      <c r="B30" s="50"/>
      <c r="C30" s="50"/>
      <c r="D30" s="12" t="s">
        <v>87</v>
      </c>
      <c r="E30" s="14">
        <f t="shared" ref="E30:E34" si="2">$E$2-3</f>
        <v>2019</v>
      </c>
      <c r="F30" s="22">
        <v>161</v>
      </c>
      <c r="H30" s="7"/>
    </row>
    <row r="31" spans="1:8" x14ac:dyDescent="0.25">
      <c r="A31" s="78"/>
      <c r="B31" s="50"/>
      <c r="C31" s="50"/>
      <c r="D31" s="12" t="s">
        <v>88</v>
      </c>
      <c r="E31" s="14">
        <f t="shared" si="2"/>
        <v>2019</v>
      </c>
      <c r="F31" s="22">
        <v>0</v>
      </c>
      <c r="H31" s="7"/>
    </row>
    <row r="32" spans="1:8" x14ac:dyDescent="0.25">
      <c r="A32" s="78"/>
      <c r="B32" s="50"/>
      <c r="C32" s="50"/>
      <c r="D32" s="12" t="s">
        <v>89</v>
      </c>
      <c r="E32" s="14">
        <f t="shared" si="2"/>
        <v>2019</v>
      </c>
      <c r="F32" s="22">
        <v>0</v>
      </c>
      <c r="H32" s="7"/>
    </row>
    <row r="33" spans="1:8" x14ac:dyDescent="0.25">
      <c r="A33" s="78" t="s">
        <v>142</v>
      </c>
      <c r="B33" s="50"/>
      <c r="C33" s="50"/>
      <c r="D33" s="12" t="s">
        <v>90</v>
      </c>
      <c r="E33" s="14">
        <f t="shared" si="2"/>
        <v>2019</v>
      </c>
      <c r="F33" s="22">
        <v>0</v>
      </c>
      <c r="H33" s="7"/>
    </row>
    <row r="34" spans="1:8" x14ac:dyDescent="0.25">
      <c r="A34" s="78"/>
      <c r="B34" s="50"/>
      <c r="C34" s="50"/>
      <c r="D34" s="12" t="s">
        <v>91</v>
      </c>
      <c r="E34" s="14">
        <f t="shared" si="2"/>
        <v>2019</v>
      </c>
      <c r="F34" s="22">
        <v>0</v>
      </c>
      <c r="H34" s="7"/>
    </row>
    <row r="35" spans="1:8" x14ac:dyDescent="0.25">
      <c r="A35" s="78"/>
      <c r="B35" s="50"/>
      <c r="C35" s="50"/>
      <c r="D35" s="12" t="s">
        <v>92</v>
      </c>
      <c r="E35" s="4">
        <f t="shared" ref="E35:E37" si="3">$E$2-2</f>
        <v>2020</v>
      </c>
      <c r="F35" s="22">
        <f>'10.03.00'!E35</f>
        <v>355</v>
      </c>
      <c r="H35" s="7"/>
    </row>
    <row r="36" spans="1:8" x14ac:dyDescent="0.25">
      <c r="A36" s="78"/>
      <c r="B36" s="50"/>
      <c r="C36" s="50"/>
      <c r="D36" s="12" t="s">
        <v>93</v>
      </c>
      <c r="E36" s="4">
        <f t="shared" si="3"/>
        <v>2020</v>
      </c>
      <c r="F36" s="22">
        <f>'10.03.00'!E36</f>
        <v>0</v>
      </c>
      <c r="H36" s="7"/>
    </row>
    <row r="37" spans="1:8" x14ac:dyDescent="0.25">
      <c r="A37" s="78"/>
      <c r="B37" s="50"/>
      <c r="C37" s="50"/>
      <c r="D37" s="12" t="s">
        <v>94</v>
      </c>
      <c r="E37" s="4">
        <f t="shared" si="3"/>
        <v>2020</v>
      </c>
      <c r="F37" s="22">
        <f>'10.03.00'!E37</f>
        <v>0</v>
      </c>
      <c r="H37" s="7"/>
    </row>
    <row r="38" spans="1:8" x14ac:dyDescent="0.25">
      <c r="A38" s="82" t="s">
        <v>123</v>
      </c>
      <c r="B38" s="51"/>
      <c r="C38" s="51" t="s">
        <v>120</v>
      </c>
      <c r="D38" s="13" t="s">
        <v>37</v>
      </c>
      <c r="E38" s="5"/>
      <c r="F38" s="1">
        <f>IFERROR(IF((F39+0.25*F40+0.1*F41)/(F22+0.25*F23+0.1*F24)&gt;=0.5,1,IF((F39+0.25*F40+0.1*F41)/(F22+0.25*F23+0.1*F24)&lt;=0,0,(F39+0.25*F40+0.1*F41)/(F22+0.25*F23+0.1*F24)/0.5))*G38,G38/3)</f>
        <v>0</v>
      </c>
      <c r="G38" s="1">
        <f>IF(OR(Главная!AE14=E3,Главная!AE15=E3,Главная!AE16=E3,Главная!AE17=E3,Главная!AE22=E3),6,9)</f>
        <v>6</v>
      </c>
      <c r="H38" s="7">
        <f t="shared" si="0"/>
        <v>0</v>
      </c>
    </row>
    <row r="39" spans="1:8" x14ac:dyDescent="0.25">
      <c r="A39" s="82"/>
      <c r="B39" s="52"/>
      <c r="C39" s="52"/>
      <c r="D39" s="12" t="s">
        <v>121</v>
      </c>
      <c r="E39" s="4">
        <f t="shared" si="1"/>
        <v>2020</v>
      </c>
      <c r="F39" s="22">
        <v>0</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3.25</v>
      </c>
      <c r="G52" s="1">
        <v>5</v>
      </c>
      <c r="H52" s="7">
        <f t="shared" si="0"/>
        <v>0.65</v>
      </c>
    </row>
    <row r="53" spans="1:8" x14ac:dyDescent="0.25">
      <c r="A53" s="84"/>
      <c r="B53" s="52"/>
      <c r="C53" s="52"/>
      <c r="D53" s="12" t="s">
        <v>131</v>
      </c>
      <c r="E53" s="8" t="str">
        <f>"на 01.10."&amp;$E$2-3</f>
        <v>на 01.10.2019</v>
      </c>
      <c r="F53" s="22">
        <v>8</v>
      </c>
      <c r="H53" s="7"/>
    </row>
    <row r="54" spans="1:8" x14ac:dyDescent="0.25">
      <c r="A54" s="84"/>
      <c r="B54" s="52"/>
      <c r="C54" s="52"/>
      <c r="D54" s="12" t="s">
        <v>132</v>
      </c>
      <c r="E54" s="4" t="str">
        <f>"на 01.10."&amp;$E$2-2</f>
        <v>на 01.10.2020</v>
      </c>
      <c r="F54" s="22">
        <v>5</v>
      </c>
      <c r="H54" s="7"/>
    </row>
    <row r="55" spans="1:8" ht="15" customHeight="1" x14ac:dyDescent="0.25">
      <c r="A55" s="88" t="s">
        <v>59</v>
      </c>
      <c r="B55" s="91" t="s">
        <v>140</v>
      </c>
      <c r="C55" s="11" t="s">
        <v>134</v>
      </c>
      <c r="D55" s="13" t="s">
        <v>53</v>
      </c>
      <c r="E55" s="5"/>
      <c r="F55" s="1">
        <f>IFERROR(IF((F62/(F56+F59)+F63/(F57+F60)+F64/(F58+F61))/3*100&lt;=5,0,IF((F62/(F56+F59)+F63/(F57+F60)+F64/(F58+F61))/3*100&gt;=100,1,((F62/(F56+F59)+F63/(F57+F60)+F64/(F58+F61))/3*100-5)/95))*G55,"")</f>
        <v>5.5461718005586649</v>
      </c>
      <c r="G55" s="1">
        <f>IF(OR(Главная!AE13=E3,Главная!AE14=E3,Главная!AE15=E3,Главная!AE21=E3,Главная!AE22=E3),8,0)</f>
        <v>8</v>
      </c>
      <c r="H55" s="7">
        <f t="shared" si="0"/>
        <v>0.69327147506983311</v>
      </c>
    </row>
    <row r="56" spans="1:8" x14ac:dyDescent="0.25">
      <c r="A56" s="88"/>
      <c r="B56" s="92"/>
      <c r="C56" s="9"/>
      <c r="D56" s="12" t="s">
        <v>54</v>
      </c>
      <c r="E56" s="8">
        <f>$E$2-5</f>
        <v>2017</v>
      </c>
      <c r="F56" s="38">
        <v>1051.2</v>
      </c>
      <c r="H56" s="7"/>
    </row>
    <row r="57" spans="1:8" x14ac:dyDescent="0.25">
      <c r="A57" s="88"/>
      <c r="B57" s="92"/>
      <c r="C57" s="9"/>
      <c r="D57" s="12" t="s">
        <v>54</v>
      </c>
      <c r="E57" s="8">
        <f>$E$2-4</f>
        <v>2018</v>
      </c>
      <c r="F57" s="38">
        <v>1047.5</v>
      </c>
      <c r="H57" s="7"/>
    </row>
    <row r="58" spans="1:8" x14ac:dyDescent="0.25">
      <c r="A58" s="88"/>
      <c r="B58" s="92"/>
      <c r="C58" s="9"/>
      <c r="D58" s="12" t="s">
        <v>54</v>
      </c>
      <c r="E58" s="8">
        <f>$E$2-3</f>
        <v>2019</v>
      </c>
      <c r="F58" s="38">
        <v>1059.5</v>
      </c>
      <c r="H58" s="7"/>
    </row>
    <row r="59" spans="1:8" x14ac:dyDescent="0.25">
      <c r="A59" s="88"/>
      <c r="B59" s="92"/>
      <c r="C59" s="9"/>
      <c r="D59" s="12" t="s">
        <v>55</v>
      </c>
      <c r="E59" s="8">
        <f>$E$2-5</f>
        <v>2017</v>
      </c>
      <c r="F59" s="38">
        <v>56.2</v>
      </c>
      <c r="H59" s="7"/>
    </row>
    <row r="60" spans="1:8" x14ac:dyDescent="0.25">
      <c r="A60" s="88"/>
      <c r="B60" s="92"/>
      <c r="C60" s="9"/>
      <c r="D60" s="12" t="s">
        <v>55</v>
      </c>
      <c r="E60" s="8">
        <f>$E$2-4</f>
        <v>2018</v>
      </c>
      <c r="F60" s="38">
        <v>54.6</v>
      </c>
      <c r="H60" s="7"/>
    </row>
    <row r="61" spans="1:8" x14ac:dyDescent="0.25">
      <c r="A61" s="88"/>
      <c r="B61" s="92"/>
      <c r="C61" s="9"/>
      <c r="D61" s="12" t="s">
        <v>55</v>
      </c>
      <c r="E61" s="8">
        <f>$E$2-3</f>
        <v>2019</v>
      </c>
      <c r="F61" s="38">
        <v>56.5</v>
      </c>
      <c r="H61" s="7"/>
    </row>
    <row r="62" spans="1:8" x14ac:dyDescent="0.25">
      <c r="A62" s="88"/>
      <c r="B62" s="92"/>
      <c r="C62" s="9"/>
      <c r="D62" s="12" t="s">
        <v>56</v>
      </c>
      <c r="E62" s="8">
        <f>$E$2-5</f>
        <v>2017</v>
      </c>
      <c r="F62" s="38">
        <v>380</v>
      </c>
      <c r="H62" s="7"/>
    </row>
    <row r="63" spans="1:8" x14ac:dyDescent="0.25">
      <c r="A63" s="88"/>
      <c r="B63" s="92"/>
      <c r="C63" s="9"/>
      <c r="D63" s="12" t="s">
        <v>56</v>
      </c>
      <c r="E63" s="8">
        <f>$E$2-4</f>
        <v>2018</v>
      </c>
      <c r="F63" s="38">
        <v>830</v>
      </c>
      <c r="H63" s="7"/>
    </row>
    <row r="64" spans="1:8" x14ac:dyDescent="0.25">
      <c r="A64" s="88"/>
      <c r="B64" s="92"/>
      <c r="C64" s="9"/>
      <c r="D64" s="12" t="s">
        <v>56</v>
      </c>
      <c r="E64" s="8">
        <f>$E$2-3</f>
        <v>2019</v>
      </c>
      <c r="F64" s="38">
        <v>1149</v>
      </c>
      <c r="H64" s="7"/>
    </row>
    <row r="65" spans="1:8" x14ac:dyDescent="0.25">
      <c r="A65" s="87" t="s">
        <v>79</v>
      </c>
      <c r="B65" s="92"/>
      <c r="C65" s="11" t="s">
        <v>135</v>
      </c>
      <c r="D65" s="35" t="s">
        <v>57</v>
      </c>
      <c r="E65" s="36"/>
      <c r="F65" s="1">
        <f>IFERROR(IF((F66/(F56+F59)+F67/(F57+F60)+F68/(F58+F61))/3&lt;=100,0,IF((F66/(F56+F59)+F67/(F57+F60)+F68/(F58+F61))/3&gt;=1000,1,((F66/(F56+F59)+F67/(F57+F60)+F68/(F58+F61))/3-100)/900))*G65," ")</f>
        <v>2.4965196272262826</v>
      </c>
      <c r="G65" s="1">
        <f>IF(OR(Главная!AE16=E3,Главная!AE17=E3,Главная!AE19=E3),10,IF(OR(Главная!AE13=E3,Главная!AE14=E3,Главная!AE15=E3,Главная!AE21=E3,Главная!AE22=E3),8,0))</f>
        <v>8</v>
      </c>
      <c r="H65" s="7">
        <f t="shared" si="0"/>
        <v>0.31206495340328533</v>
      </c>
    </row>
    <row r="66" spans="1:8" x14ac:dyDescent="0.25">
      <c r="A66" s="87"/>
      <c r="B66" s="92"/>
      <c r="C66" s="9"/>
      <c r="D66" s="37" t="s">
        <v>161</v>
      </c>
      <c r="E66" s="8">
        <v>2017</v>
      </c>
      <c r="F66" s="38">
        <v>265431.7</v>
      </c>
      <c r="H66" s="7"/>
    </row>
    <row r="67" spans="1:8" x14ac:dyDescent="0.25">
      <c r="A67" s="87"/>
      <c r="B67" s="92"/>
      <c r="C67" s="9"/>
      <c r="D67" s="37" t="s">
        <v>161</v>
      </c>
      <c r="E67" s="8">
        <v>2018</v>
      </c>
      <c r="F67" s="38">
        <v>382808.6</v>
      </c>
      <c r="H67" s="7"/>
    </row>
    <row r="68" spans="1:8"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2.8617026630057016</v>
      </c>
      <c r="G69" s="1">
        <f>IF(OR(Главная!AE16=E3,Главная!AE17=E3,Главная!AE19=E3),10,IF(OR(Главная!AE13=E3,Главная!AE14=E3,Главная!AE15=E3,Главная!AE21=E3,Главная!AE22=E3),7,15))</f>
        <v>7</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6.7346747129670161</v>
      </c>
      <c r="G76" s="1">
        <f>IF(OR(Главная!AE16=E3,Главная!AE17=E3,Главная!AE19=E3),10,IF(OR(Главная!AE13=E3,Главная!AE14=E3,Главная!AE15=E3,Главная!AE21=E3,Главная!AE22=E3),7,15))</f>
        <v>7</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67.416013342965229</v>
      </c>
      <c r="G89" s="1">
        <v>100</v>
      </c>
      <c r="H89" s="7">
        <f t="shared" ref="H89" si="5">F89/G89</f>
        <v>0.67416013342965231</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row r="94" spans="1:8" x14ac:dyDescent="0.25">
      <c r="C94" s="11" t="s">
        <v>96</v>
      </c>
      <c r="D94" s="86" t="s">
        <v>97</v>
      </c>
      <c r="E94" s="86"/>
      <c r="F94" s="86"/>
      <c r="G94" s="11"/>
      <c r="H94" s="7"/>
    </row>
    <row r="95" spans="1:8" x14ac:dyDescent="0.25">
      <c r="C95" s="9"/>
      <c r="D95" s="26" t="s">
        <v>124</v>
      </c>
      <c r="E95" s="65" t="s">
        <v>230</v>
      </c>
      <c r="F95" s="24">
        <f>20/3*2</f>
        <v>13.333333333333334</v>
      </c>
      <c r="G95" s="23"/>
      <c r="H95" s="7" t="e">
        <f t="shared" ref="H95:H99" si="7">F95/G95</f>
        <v>#DIV/0!</v>
      </c>
    </row>
    <row r="96" spans="1:8" x14ac:dyDescent="0.25">
      <c r="C96" s="9"/>
      <c r="D96" s="28"/>
      <c r="E96" s="27"/>
      <c r="F96" s="25"/>
      <c r="G96" s="23"/>
      <c r="H96" s="7" t="e">
        <f t="shared" si="7"/>
        <v>#DIV/0!</v>
      </c>
    </row>
    <row r="97" spans="3:8" x14ac:dyDescent="0.25">
      <c r="C97" s="9"/>
      <c r="D97" s="28"/>
      <c r="E97" s="27"/>
      <c r="F97" s="25"/>
      <c r="G97" s="23"/>
      <c r="H97" s="7" t="e">
        <f t="shared" si="7"/>
        <v>#DIV/0!</v>
      </c>
    </row>
    <row r="98" spans="3:8" x14ac:dyDescent="0.25">
      <c r="C98" s="9"/>
      <c r="D98" s="28"/>
      <c r="E98" s="27"/>
      <c r="F98" s="25"/>
      <c r="G98" s="23"/>
      <c r="H98" s="7" t="e">
        <f t="shared" si="7"/>
        <v>#DIV/0!</v>
      </c>
    </row>
    <row r="99" spans="3:8" x14ac:dyDescent="0.25">
      <c r="C99" s="9"/>
      <c r="D99" s="28"/>
      <c r="E99" s="27"/>
      <c r="F99" s="25"/>
      <c r="G99" s="23"/>
      <c r="H99" s="7" t="e">
        <f t="shared" si="7"/>
        <v>#DIV/0!</v>
      </c>
    </row>
  </sheetData>
  <mergeCells count="18">
    <mergeCell ref="A65:A68"/>
    <mergeCell ref="A69:A75"/>
    <mergeCell ref="A7:A9"/>
    <mergeCell ref="A10:A12"/>
    <mergeCell ref="A13:A14"/>
    <mergeCell ref="B55:B88"/>
    <mergeCell ref="D94:F94"/>
    <mergeCell ref="A15:A17"/>
    <mergeCell ref="A18:A20"/>
    <mergeCell ref="A21:A27"/>
    <mergeCell ref="A28:A32"/>
    <mergeCell ref="A33:A37"/>
    <mergeCell ref="A76:A88"/>
    <mergeCell ref="A89:A92"/>
    <mergeCell ref="A38:A41"/>
    <mergeCell ref="A42:A51"/>
    <mergeCell ref="A52:A54"/>
    <mergeCell ref="A55:A64"/>
  </mergeCells>
  <conditionalFormatting sqref="H1:H2 H4:H28 H38:H76">
    <cfRule type="iconSet" priority="8">
      <iconSet>
        <cfvo type="percent" val="0"/>
        <cfvo type="percent" val="33"/>
        <cfvo type="percent" val="67"/>
      </iconSet>
    </cfRule>
  </conditionalFormatting>
  <conditionalFormatting sqref="H89:H92">
    <cfRule type="iconSet" priority="7">
      <iconSet>
        <cfvo type="percent" val="0"/>
        <cfvo type="percent" val="33"/>
        <cfvo type="percent" val="67"/>
      </iconSet>
    </cfRule>
  </conditionalFormatting>
  <conditionalFormatting sqref="H94:H99">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conditionalFormatting sqref="F7">
    <cfRule type="expression" dxfId="10" priority="3">
      <formula>$F$7*3=$G$7</formula>
    </cfRule>
  </conditionalFormatting>
  <conditionalFormatting sqref="F1:F1048576">
    <cfRule type="expression" priority="1">
      <formula>$F:$F*3=$G:$G</formula>
    </cfRule>
    <cfRule type="expression" priority="2">
      <formula>$F$7*3=$G$7</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Главная!$AE$13:$AE$22</xm:f>
          </x14:formula1>
          <xm:sqref>E3</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3">
    <tabColor rgb="FF0070C0"/>
  </sheetPr>
  <dimension ref="A1:H92"/>
  <sheetViews>
    <sheetView topLeftCell="A55" workbookViewId="0">
      <selection activeCell="A76" sqref="A76:A88"/>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244</v>
      </c>
    </row>
    <row r="4" spans="1:8" x14ac:dyDescent="0.25">
      <c r="A4" t="s">
        <v>81</v>
      </c>
      <c r="D4" s="12" t="s">
        <v>75</v>
      </c>
      <c r="E4" s="10">
        <f>F89</f>
        <v>42.210497375186229</v>
      </c>
      <c r="F4" t="s">
        <v>138</v>
      </c>
    </row>
    <row r="5" spans="1:8" x14ac:dyDescent="0.25">
      <c r="D5" s="12"/>
      <c r="E5" s="4"/>
    </row>
    <row r="6" spans="1:8" x14ac:dyDescent="0.25">
      <c r="A6" t="s">
        <v>7</v>
      </c>
      <c r="D6" s="12" t="s">
        <v>25</v>
      </c>
      <c r="E6" s="4" t="s">
        <v>21</v>
      </c>
      <c r="G6" t="s">
        <v>20</v>
      </c>
      <c r="H6" t="s">
        <v>42</v>
      </c>
    </row>
    <row r="7" spans="1:8" x14ac:dyDescent="0.25">
      <c r="A7" s="78" t="s">
        <v>104</v>
      </c>
      <c r="B7" s="50"/>
      <c r="C7" s="49" t="s">
        <v>98</v>
      </c>
      <c r="D7" s="13" t="s">
        <v>99</v>
      </c>
      <c r="E7" s="5"/>
      <c r="F7" s="1">
        <f>IFERROR(IF(F9/F8&lt;=0.1,0,IF(F9/F8&gt;=0.5,1,(F9/F8-0.1)/0.4))*G7,G7/3)</f>
        <v>3.3333333333333335</v>
      </c>
      <c r="G7" s="2">
        <v>10</v>
      </c>
      <c r="H7" s="7">
        <f>F7/G7</f>
        <v>0.33333333333333337</v>
      </c>
    </row>
    <row r="8" spans="1:8" x14ac:dyDescent="0.25">
      <c r="A8" s="78"/>
      <c r="B8" s="50"/>
      <c r="C8" s="50"/>
      <c r="D8" s="12" t="s">
        <v>100</v>
      </c>
      <c r="E8" s="4">
        <f>$E$2-2</f>
        <v>2020</v>
      </c>
      <c r="F8" s="22">
        <v>0</v>
      </c>
      <c r="H8" s="7"/>
    </row>
    <row r="9" spans="1:8" x14ac:dyDescent="0.25">
      <c r="A9" s="78"/>
      <c r="B9" s="50"/>
      <c r="C9" s="49"/>
      <c r="D9" s="19" t="s">
        <v>101</v>
      </c>
      <c r="E9" s="4">
        <f>$E$2-2</f>
        <v>2020</v>
      </c>
      <c r="F9" s="39">
        <v>0</v>
      </c>
      <c r="G9" s="20"/>
      <c r="H9" s="7"/>
    </row>
    <row r="10" spans="1:8" x14ac:dyDescent="0.25">
      <c r="A10" s="82" t="s">
        <v>235</v>
      </c>
      <c r="B10" s="52"/>
      <c r="C10" s="51" t="s">
        <v>103</v>
      </c>
      <c r="D10" s="1" t="s">
        <v>102</v>
      </c>
      <c r="F10" s="1">
        <f>IFERROR(IF(F11/F12&lt;=1.5,0,IF(F11/F12&gt;=10,1,(F11/F12-1.5)/8.5))*G10,G10/3)</f>
        <v>1.6666666666666667</v>
      </c>
      <c r="G10" s="1">
        <v>5</v>
      </c>
      <c r="H10" s="7">
        <f t="shared" ref="H10:H76" si="0">F10/G10</f>
        <v>0.33333333333333337</v>
      </c>
    </row>
    <row r="11" spans="1:8" x14ac:dyDescent="0.25">
      <c r="A11" s="82"/>
      <c r="B11" s="52"/>
      <c r="C11" s="52"/>
      <c r="D11" t="s">
        <v>105</v>
      </c>
      <c r="E11" s="4">
        <f>$E$2-2</f>
        <v>2020</v>
      </c>
      <c r="F11" s="22">
        <v>0</v>
      </c>
      <c r="H11" s="7"/>
    </row>
    <row r="12" spans="1:8" x14ac:dyDescent="0.25">
      <c r="A12" s="82"/>
      <c r="B12" s="52"/>
      <c r="C12" s="52"/>
      <c r="D12" t="s">
        <v>109</v>
      </c>
      <c r="E12" s="4">
        <f>$E$2-2</f>
        <v>2020</v>
      </c>
      <c r="F12" s="22">
        <v>0</v>
      </c>
      <c r="H12" s="7"/>
    </row>
    <row r="13" spans="1:8" x14ac:dyDescent="0.25">
      <c r="A13" s="78" t="s">
        <v>111</v>
      </c>
      <c r="B13" s="50"/>
      <c r="C13" s="49" t="s">
        <v>107</v>
      </c>
      <c r="D13" s="1" t="s">
        <v>108</v>
      </c>
      <c r="E13" s="1"/>
      <c r="F13" s="1">
        <f>IFERROR(IF(F14/F12&lt;=0,0,IF(F14/F12&gt;=0.25,1,F14/F12/0.25))*G13,G13/3)</f>
        <v>1.6666666666666667</v>
      </c>
      <c r="G13" s="1">
        <v>5</v>
      </c>
      <c r="H13" s="7">
        <f t="shared" si="0"/>
        <v>0.33333333333333337</v>
      </c>
    </row>
    <row r="14" spans="1:8" x14ac:dyDescent="0.25">
      <c r="A14" s="78"/>
      <c r="B14" s="50"/>
      <c r="C14" s="50"/>
      <c r="D14" t="s">
        <v>110</v>
      </c>
      <c r="E14" s="4">
        <f>$E$2-2</f>
        <v>2020</v>
      </c>
      <c r="F14" s="22">
        <v>0</v>
      </c>
      <c r="H14" s="7"/>
    </row>
    <row r="15" spans="1:8" x14ac:dyDescent="0.25">
      <c r="A15" s="82" t="s">
        <v>115</v>
      </c>
      <c r="B15" s="66"/>
      <c r="C15" s="67" t="s">
        <v>112</v>
      </c>
      <c r="D15" s="1" t="s">
        <v>2</v>
      </c>
      <c r="E15" s="63"/>
      <c r="F15" s="11">
        <f>IFERROR(IF(F16/F17*100&lt;=80,0,IF(F16/F17*100&gt;=100,1,(F16/F17*100-80)/20))*G15,G15/3)</f>
        <v>1.6666666666666667</v>
      </c>
      <c r="G15" s="1">
        <v>5</v>
      </c>
      <c r="H15" s="7">
        <f t="shared" si="0"/>
        <v>0.33333333333333337</v>
      </c>
    </row>
    <row r="16" spans="1:8" x14ac:dyDescent="0.25">
      <c r="A16" s="82"/>
      <c r="B16" s="66"/>
      <c r="C16" s="66"/>
      <c r="D16" t="s">
        <v>113</v>
      </c>
      <c r="E16" s="4" t="str">
        <f>$E$2-2&amp;" "&amp;$E$2-3&amp;" "&amp;$E$2-4</f>
        <v>2020 2019 2018</v>
      </c>
      <c r="F16" s="22">
        <v>0</v>
      </c>
      <c r="H16" s="7"/>
    </row>
    <row r="17" spans="1:8" x14ac:dyDescent="0.25">
      <c r="A17" s="82"/>
      <c r="B17" s="66"/>
      <c r="C17" s="66"/>
      <c r="D17" t="s">
        <v>114</v>
      </c>
      <c r="E17" s="4" t="str">
        <f>$E$2-2&amp;" "&amp;$E$2-3&amp;" "&amp;$E$2-4</f>
        <v>2020 2019 2018</v>
      </c>
      <c r="F17" s="22">
        <v>0</v>
      </c>
      <c r="H17" s="7"/>
    </row>
    <row r="18" spans="1:8" x14ac:dyDescent="0.25">
      <c r="A18" s="78" t="s">
        <v>17</v>
      </c>
      <c r="B18" s="50"/>
      <c r="C18" s="49" t="s">
        <v>116</v>
      </c>
      <c r="D18" s="13" t="s">
        <v>14</v>
      </c>
      <c r="E18" s="5"/>
      <c r="F18" s="1">
        <f>IFERROR(IF(F19/F20&gt;=1,1,IF(F19/F20&lt;=0,0,(F19/F20)))*G18,G18/3)</f>
        <v>0</v>
      </c>
      <c r="G18" s="1">
        <v>2</v>
      </c>
      <c r="H18" s="7">
        <f t="shared" si="0"/>
        <v>0</v>
      </c>
    </row>
    <row r="19" spans="1:8" x14ac:dyDescent="0.25">
      <c r="A19" s="78"/>
      <c r="B19" s="50"/>
      <c r="C19" s="50"/>
      <c r="D19" s="12" t="s">
        <v>15</v>
      </c>
      <c r="E19" s="4">
        <f>$E$2-2</f>
        <v>2020</v>
      </c>
      <c r="F19" s="22">
        <v>0</v>
      </c>
      <c r="H19" s="7"/>
    </row>
    <row r="20" spans="1:8" x14ac:dyDescent="0.25">
      <c r="A20" s="78"/>
      <c r="B20" s="50"/>
      <c r="C20" s="50"/>
      <c r="D20" s="12" t="s">
        <v>16</v>
      </c>
      <c r="E20" s="4">
        <f>$E$2-2</f>
        <v>2020</v>
      </c>
      <c r="F20" s="22">
        <v>1</v>
      </c>
      <c r="H20" s="7"/>
    </row>
    <row r="21" spans="1:8" x14ac:dyDescent="0.25">
      <c r="A21" s="84" t="s">
        <v>119</v>
      </c>
      <c r="B21" s="52"/>
      <c r="C21" s="51" t="s">
        <v>118</v>
      </c>
      <c r="D21" s="13" t="s">
        <v>117</v>
      </c>
      <c r="E21" s="1"/>
      <c r="F21" s="1">
        <f>IFERROR(IF((F25+0.25*F26+0.1*F27)/(F22+0.25*F23+0.1*F24)&gt;=0.25,1,IF((F25+0.25*F26+0.1*F27)/(F22+0.25*F23+0.1*F24)&lt;=0,0,(F25+0.25*F26+0.1*F27)/(F22+0.25*F23+0.1*F24)/0.25))*G21,G21/3)</f>
        <v>2</v>
      </c>
      <c r="G21" s="1">
        <v>6</v>
      </c>
      <c r="H21" s="7">
        <f t="shared" si="0"/>
        <v>0.33333333333333331</v>
      </c>
    </row>
    <row r="22" spans="1:8" x14ac:dyDescent="0.25">
      <c r="A22" s="84"/>
      <c r="B22" s="52"/>
      <c r="C22" s="52"/>
      <c r="D22" s="12" t="s">
        <v>27</v>
      </c>
      <c r="E22" s="4">
        <f t="shared" ref="E22:E41" si="1">$E$2-2</f>
        <v>2020</v>
      </c>
      <c r="F22" s="22">
        <v>0</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0</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0</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2</v>
      </c>
      <c r="G28" s="1">
        <v>6</v>
      </c>
      <c r="H28" s="7">
        <f t="shared" si="0"/>
        <v>0.33333333333333331</v>
      </c>
    </row>
    <row r="29" spans="1:8" x14ac:dyDescent="0.25">
      <c r="A29" s="78"/>
      <c r="B29" s="50"/>
      <c r="C29" s="50"/>
      <c r="D29" s="12" t="s">
        <v>86</v>
      </c>
      <c r="E29" s="14">
        <f>$E$2-3</f>
        <v>2019</v>
      </c>
      <c r="F29" s="22">
        <v>0</v>
      </c>
      <c r="H29" s="7"/>
    </row>
    <row r="30" spans="1:8" x14ac:dyDescent="0.25">
      <c r="A30" s="78"/>
      <c r="B30" s="50"/>
      <c r="C30" s="50"/>
      <c r="D30" s="12" t="s">
        <v>87</v>
      </c>
      <c r="E30" s="14">
        <f t="shared" ref="E30:E34" si="2">$E$2-3</f>
        <v>2019</v>
      </c>
      <c r="F30" s="22">
        <v>0</v>
      </c>
      <c r="H30" s="7"/>
    </row>
    <row r="31" spans="1:8" x14ac:dyDescent="0.25">
      <c r="A31" s="78"/>
      <c r="B31" s="50"/>
      <c r="C31" s="50"/>
      <c r="D31" s="12" t="s">
        <v>88</v>
      </c>
      <c r="E31" s="14">
        <f t="shared" si="2"/>
        <v>2019</v>
      </c>
      <c r="F31" s="22">
        <v>0</v>
      </c>
      <c r="H31" s="7"/>
    </row>
    <row r="32" spans="1:8" x14ac:dyDescent="0.25">
      <c r="A32" s="78"/>
      <c r="B32" s="50"/>
      <c r="C32" s="50"/>
      <c r="D32" s="12" t="s">
        <v>89</v>
      </c>
      <c r="E32" s="14">
        <f t="shared" si="2"/>
        <v>2019</v>
      </c>
      <c r="F32" s="22">
        <v>0</v>
      </c>
      <c r="H32" s="7"/>
    </row>
    <row r="33" spans="1:8" x14ac:dyDescent="0.25">
      <c r="A33" s="78" t="s">
        <v>142</v>
      </c>
      <c r="B33" s="50"/>
      <c r="C33" s="50"/>
      <c r="D33" s="12" t="s">
        <v>90</v>
      </c>
      <c r="E33" s="14">
        <f t="shared" si="2"/>
        <v>2019</v>
      </c>
      <c r="F33" s="22">
        <v>0</v>
      </c>
      <c r="H33" s="7"/>
    </row>
    <row r="34" spans="1:8" x14ac:dyDescent="0.25">
      <c r="A34" s="78"/>
      <c r="B34" s="50"/>
      <c r="C34" s="50"/>
      <c r="D34" s="12" t="s">
        <v>91</v>
      </c>
      <c r="E34" s="14">
        <f t="shared" si="2"/>
        <v>2019</v>
      </c>
      <c r="F34" s="22">
        <v>0</v>
      </c>
      <c r="H34" s="7"/>
    </row>
    <row r="35" spans="1:8" x14ac:dyDescent="0.25">
      <c r="A35" s="78"/>
      <c r="B35" s="50"/>
      <c r="C35" s="50"/>
      <c r="D35" s="12" t="s">
        <v>92</v>
      </c>
      <c r="E35" s="4">
        <f t="shared" ref="E35:E37" si="3">$E$2-2</f>
        <v>2020</v>
      </c>
      <c r="F35" s="22">
        <v>0</v>
      </c>
      <c r="H35" s="7"/>
    </row>
    <row r="36" spans="1:8" x14ac:dyDescent="0.25">
      <c r="A36" s="78"/>
      <c r="B36" s="50"/>
      <c r="C36" s="50"/>
      <c r="D36" s="12" t="s">
        <v>93</v>
      </c>
      <c r="E36" s="4">
        <f t="shared" si="3"/>
        <v>2020</v>
      </c>
      <c r="F36" s="22">
        <v>0</v>
      </c>
      <c r="H36" s="7"/>
    </row>
    <row r="37" spans="1:8" x14ac:dyDescent="0.25">
      <c r="A37" s="78"/>
      <c r="B37" s="50"/>
      <c r="C37" s="50"/>
      <c r="D37" s="12" t="s">
        <v>94</v>
      </c>
      <c r="E37" s="4">
        <f t="shared" si="3"/>
        <v>2020</v>
      </c>
      <c r="F37" s="22">
        <v>0</v>
      </c>
      <c r="H37" s="7"/>
    </row>
    <row r="38" spans="1:8" x14ac:dyDescent="0.25">
      <c r="A38" s="82" t="s">
        <v>123</v>
      </c>
      <c r="B38" s="51"/>
      <c r="C38" s="51" t="s">
        <v>120</v>
      </c>
      <c r="D38" s="13" t="s">
        <v>37</v>
      </c>
      <c r="E38" s="5"/>
      <c r="F38" s="1">
        <f>IFERROR(IF((F39+0.25*F40+0.1*F41)/(F22+0.25*F23+0.1*F24)&gt;=0.5,1,IF((F39+0.25*F40+0.1*F41)/(F22+0.25*F23+0.1*F24)&lt;=0,0,(F39+0.25*F40+0.1*F41)/(F22+0.25*F23+0.1*F24)/0.5))*G38,G38/3)</f>
        <v>2</v>
      </c>
      <c r="G38" s="1">
        <v>6</v>
      </c>
      <c r="H38" s="7">
        <f t="shared" si="0"/>
        <v>0.33333333333333331</v>
      </c>
    </row>
    <row r="39" spans="1:8" x14ac:dyDescent="0.25">
      <c r="A39" s="82"/>
      <c r="B39" s="52"/>
      <c r="C39" s="52"/>
      <c r="D39" s="12" t="s">
        <v>121</v>
      </c>
      <c r="E39" s="4">
        <f t="shared" si="1"/>
        <v>2020</v>
      </c>
      <c r="F39" s="22">
        <v>0</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3.5714285714285712</v>
      </c>
      <c r="G52" s="1">
        <v>5</v>
      </c>
      <c r="H52" s="7">
        <f t="shared" si="0"/>
        <v>0.71428571428571419</v>
      </c>
    </row>
    <row r="53" spans="1:8" x14ac:dyDescent="0.25">
      <c r="A53" s="84"/>
      <c r="B53" s="52"/>
      <c r="C53" s="52"/>
      <c r="D53" s="12" t="s">
        <v>131</v>
      </c>
      <c r="E53" s="8" t="str">
        <f>"на 01.10."&amp;$E$2-3</f>
        <v>на 01.10.2019</v>
      </c>
      <c r="F53" s="22">
        <v>35</v>
      </c>
      <c r="H53" s="7"/>
    </row>
    <row r="54" spans="1:8" x14ac:dyDescent="0.25">
      <c r="A54" s="84"/>
      <c r="B54" s="52"/>
      <c r="C54" s="52"/>
      <c r="D54" s="12" t="s">
        <v>132</v>
      </c>
      <c r="E54" s="4" t="str">
        <f>"на 01.10."&amp;$E$2-2</f>
        <v>на 01.10.2020</v>
      </c>
      <c r="F54" s="22">
        <v>23</v>
      </c>
      <c r="H54" s="7"/>
    </row>
    <row r="55" spans="1:8" x14ac:dyDescent="0.25">
      <c r="A55" s="88" t="s">
        <v>59</v>
      </c>
      <c r="B55" s="91" t="s">
        <v>140</v>
      </c>
      <c r="C55" s="11" t="s">
        <v>134</v>
      </c>
      <c r="D55" s="13" t="s">
        <v>53</v>
      </c>
      <c r="E55" s="5"/>
      <c r="F55" s="1">
        <f>IFERROR(IF((F62/(F56+F59)+F63/(F57+F60)+F64/(F58+F61))/3*100&lt;=5,0,IF((F62/(F56+F59)+F63/(F57+F60)+F64/(F58+F61))/3*100&gt;=100,1,((F62/(F56+F59)+F63/(F57+F60)+F64/(F58+F61))/3*100-5)/95))*G55,"")</f>
        <v>5.5461718005586649</v>
      </c>
      <c r="G55" s="1">
        <v>8</v>
      </c>
      <c r="H55" s="7">
        <f t="shared" si="0"/>
        <v>0.69327147506983311</v>
      </c>
    </row>
    <row r="56" spans="1:8" x14ac:dyDescent="0.25">
      <c r="A56" s="88"/>
      <c r="B56" s="92"/>
      <c r="C56" s="9"/>
      <c r="D56" s="12" t="s">
        <v>54</v>
      </c>
      <c r="E56" s="8">
        <f>$E$2-5</f>
        <v>2017</v>
      </c>
      <c r="F56" s="38">
        <v>1051.2</v>
      </c>
      <c r="H56" s="7"/>
    </row>
    <row r="57" spans="1:8" x14ac:dyDescent="0.25">
      <c r="A57" s="88"/>
      <c r="B57" s="92"/>
      <c r="C57" s="9"/>
      <c r="D57" s="12" t="s">
        <v>54</v>
      </c>
      <c r="E57" s="8">
        <f>$E$2-4</f>
        <v>2018</v>
      </c>
      <c r="F57" s="38">
        <v>1047.5</v>
      </c>
      <c r="H57" s="7"/>
    </row>
    <row r="58" spans="1:8" x14ac:dyDescent="0.25">
      <c r="A58" s="88"/>
      <c r="B58" s="92"/>
      <c r="C58" s="9"/>
      <c r="D58" s="12" t="s">
        <v>54</v>
      </c>
      <c r="E58" s="8">
        <f>$E$2-3</f>
        <v>2019</v>
      </c>
      <c r="F58" s="38">
        <v>1059.5</v>
      </c>
      <c r="H58" s="7"/>
    </row>
    <row r="59" spans="1:8" x14ac:dyDescent="0.25">
      <c r="A59" s="88"/>
      <c r="B59" s="92"/>
      <c r="C59" s="9"/>
      <c r="D59" s="12" t="s">
        <v>55</v>
      </c>
      <c r="E59" s="8">
        <f>$E$2-5</f>
        <v>2017</v>
      </c>
      <c r="F59" s="38">
        <v>56.2</v>
      </c>
      <c r="H59" s="7"/>
    </row>
    <row r="60" spans="1:8" x14ac:dyDescent="0.25">
      <c r="A60" s="88"/>
      <c r="B60" s="92"/>
      <c r="C60" s="9"/>
      <c r="D60" s="12" t="s">
        <v>55</v>
      </c>
      <c r="E60" s="8">
        <f>$E$2-4</f>
        <v>2018</v>
      </c>
      <c r="F60" s="38">
        <v>54.6</v>
      </c>
      <c r="H60" s="7"/>
    </row>
    <row r="61" spans="1:8" x14ac:dyDescent="0.25">
      <c r="A61" s="88"/>
      <c r="B61" s="92"/>
      <c r="C61" s="9"/>
      <c r="D61" s="12" t="s">
        <v>55</v>
      </c>
      <c r="E61" s="8">
        <f>$E$2-3</f>
        <v>2019</v>
      </c>
      <c r="F61" s="38">
        <v>56.5</v>
      </c>
      <c r="H61" s="7"/>
    </row>
    <row r="62" spans="1:8" x14ac:dyDescent="0.25">
      <c r="A62" s="88"/>
      <c r="B62" s="92"/>
      <c r="C62" s="9"/>
      <c r="D62" s="12" t="s">
        <v>56</v>
      </c>
      <c r="E62" s="8">
        <f>$E$2-5</f>
        <v>2017</v>
      </c>
      <c r="F62" s="38">
        <v>380</v>
      </c>
      <c r="H62" s="7"/>
    </row>
    <row r="63" spans="1:8" x14ac:dyDescent="0.25">
      <c r="A63" s="88"/>
      <c r="B63" s="92"/>
      <c r="C63" s="9"/>
      <c r="D63" s="12" t="s">
        <v>56</v>
      </c>
      <c r="E63" s="8">
        <f>$E$2-4</f>
        <v>2018</v>
      </c>
      <c r="F63" s="38">
        <v>830</v>
      </c>
      <c r="H63" s="7"/>
    </row>
    <row r="64" spans="1:8" x14ac:dyDescent="0.25">
      <c r="A64" s="88"/>
      <c r="B64" s="92"/>
      <c r="C64" s="9"/>
      <c r="D64" s="12" t="s">
        <v>56</v>
      </c>
      <c r="E64" s="8">
        <f>$E$2-3</f>
        <v>2019</v>
      </c>
      <c r="F64" s="38">
        <v>1149</v>
      </c>
      <c r="H64" s="7"/>
    </row>
    <row r="65" spans="1:8" x14ac:dyDescent="0.25">
      <c r="A65" s="87" t="s">
        <v>79</v>
      </c>
      <c r="B65" s="92"/>
      <c r="C65" s="11" t="s">
        <v>135</v>
      </c>
      <c r="D65" s="35" t="s">
        <v>57</v>
      </c>
      <c r="E65" s="36"/>
      <c r="F65" s="1">
        <f>IFERROR(IF((F66/(F56+F59)+F67/(F57+F60)+F68/(F58+F61))/3&lt;=100,0,IF((F66/(F56+F59)+F67/(F57+F60)+F68/(F58+F61))/3&gt;=1000,1,((F66/(F56+F59)+F67/(F57+F60)+F68/(F58+F61))/3-100)/900))*G65," ")</f>
        <v>2.4965196272262826</v>
      </c>
      <c r="G65" s="1">
        <v>8</v>
      </c>
      <c r="H65" s="7">
        <f t="shared" si="0"/>
        <v>0.31206495340328533</v>
      </c>
    </row>
    <row r="66" spans="1:8" x14ac:dyDescent="0.25">
      <c r="A66" s="87"/>
      <c r="B66" s="92"/>
      <c r="C66" s="9"/>
      <c r="D66" s="37" t="s">
        <v>161</v>
      </c>
      <c r="E66" s="8">
        <v>2017</v>
      </c>
      <c r="F66" s="38">
        <v>265431.7</v>
      </c>
      <c r="H66" s="7"/>
    </row>
    <row r="67" spans="1:8" x14ac:dyDescent="0.25">
      <c r="A67" s="87"/>
      <c r="B67" s="92"/>
      <c r="C67" s="9"/>
      <c r="D67" s="37" t="s">
        <v>161</v>
      </c>
      <c r="E67" s="8">
        <v>2018</v>
      </c>
      <c r="F67" s="38">
        <v>382808.6</v>
      </c>
      <c r="H67" s="7"/>
    </row>
    <row r="68" spans="1:8"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2.8617026630057016</v>
      </c>
      <c r="G69" s="1">
        <v>7</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6.7346747129670161</v>
      </c>
      <c r="G76" s="1">
        <v>7</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42.210497375186229</v>
      </c>
      <c r="G89" s="1">
        <v>100</v>
      </c>
      <c r="H89" s="7">
        <f t="shared" ref="H89" si="5">F89/G89</f>
        <v>0.42210497375186229</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sheetData>
  <mergeCells count="17">
    <mergeCell ref="A21:A27"/>
    <mergeCell ref="A7:A9"/>
    <mergeCell ref="A10:A12"/>
    <mergeCell ref="A13:A14"/>
    <mergeCell ref="A15:A17"/>
    <mergeCell ref="A18:A20"/>
    <mergeCell ref="A28:A32"/>
    <mergeCell ref="A33:A37"/>
    <mergeCell ref="A38:A41"/>
    <mergeCell ref="A42:A51"/>
    <mergeCell ref="A52:A54"/>
    <mergeCell ref="B55:B88"/>
    <mergeCell ref="A65:A68"/>
    <mergeCell ref="A69:A75"/>
    <mergeCell ref="A76:A88"/>
    <mergeCell ref="A89:A92"/>
    <mergeCell ref="A55:A64"/>
  </mergeCells>
  <conditionalFormatting sqref="H1:H2 H4:H28 H38:H76">
    <cfRule type="iconSet" priority="7">
      <iconSet>
        <cfvo type="percent" val="0"/>
        <cfvo type="percent" val="33"/>
        <cfvo type="percent" val="67"/>
      </iconSet>
    </cfRule>
  </conditionalFormatting>
  <conditionalFormatting sqref="H89:H92">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3" id="{7C537CA6-2D98-48C1-8B04-AEBED9DEDB1F}">
            <xm:f>'01.04.00'!$F$7*3='01.04.00'!$G$7</xm:f>
            <x14:dxf>
              <fill>
                <patternFill>
                  <bgColor rgb="FFFFC000"/>
                </patternFill>
              </fill>
            </x14:dxf>
          </x14:cfRule>
          <xm:sqref>F7</xm:sqref>
        </x14:conditionalFormatting>
        <x14:conditionalFormatting xmlns:xm="http://schemas.microsoft.com/office/excel/2006/main">
          <x14:cfRule type="expression" priority="1" id="{4405C53B-EADB-4953-8F61-E6F599C0A8AC}">
            <xm:f>'01.04.00'!$F:$F*3='01.04.00'!$G:$G</xm:f>
            <x14:dxf/>
          </x14:cfRule>
          <x14:cfRule type="expression" priority="2" id="{7DB5C4D2-96F5-44FF-93F2-110D955E0183}">
            <xm:f>'01.04.00'!$F$7*3='01.04.00'!$G$7</xm:f>
            <x14:dxf/>
          </x14:cfRule>
          <xm:sqref>F1:F92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8">
    <tabColor rgb="FF00B0F0"/>
  </sheetPr>
  <dimension ref="A1:H99"/>
  <sheetViews>
    <sheetView workbookViewId="0">
      <selection activeCell="A19" sqref="A1:C1048576"/>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203</v>
      </c>
    </row>
    <row r="4" spans="1:8" x14ac:dyDescent="0.25">
      <c r="A4" t="s">
        <v>81</v>
      </c>
      <c r="D4" s="12" t="s">
        <v>75</v>
      </c>
      <c r="E4" s="10">
        <f>F89</f>
        <v>68.762353314860619</v>
      </c>
      <c r="F4" t="s">
        <v>138</v>
      </c>
    </row>
    <row r="5" spans="1:8" x14ac:dyDescent="0.25">
      <c r="D5" s="12"/>
      <c r="E5" s="4"/>
    </row>
    <row r="6" spans="1:8" x14ac:dyDescent="0.25">
      <c r="A6" t="s">
        <v>7</v>
      </c>
      <c r="D6" s="12" t="s">
        <v>25</v>
      </c>
      <c r="E6" s="4" t="s">
        <v>21</v>
      </c>
      <c r="G6" t="s">
        <v>20</v>
      </c>
      <c r="H6" t="s">
        <v>42</v>
      </c>
    </row>
    <row r="7" spans="1:8" ht="30" customHeight="1" x14ac:dyDescent="0.25">
      <c r="A7" s="78" t="s">
        <v>104</v>
      </c>
      <c r="B7" s="50"/>
      <c r="C7" s="49" t="s">
        <v>98</v>
      </c>
      <c r="D7" s="13" t="s">
        <v>99</v>
      </c>
      <c r="E7" s="5"/>
      <c r="F7" s="1">
        <f>IF(F9/F8&gt;=0.5,1,IF(F9/F8&lt;=0.1,0,((F9/F8-0.1)/0.4)))*G7</f>
        <v>8.0493002209828468</v>
      </c>
      <c r="G7" s="2">
        <v>10</v>
      </c>
      <c r="H7" s="7">
        <f>F7/G7</f>
        <v>0.80493002209828468</v>
      </c>
    </row>
    <row r="8" spans="1:8" x14ac:dyDescent="0.25">
      <c r="A8" s="78"/>
      <c r="B8" s="50"/>
      <c r="C8" s="50"/>
      <c r="D8" s="12" t="s">
        <v>100</v>
      </c>
      <c r="E8" s="4">
        <f>$E$2-2</f>
        <v>2020</v>
      </c>
      <c r="F8" s="22">
        <v>9503</v>
      </c>
      <c r="H8" s="7"/>
    </row>
    <row r="9" spans="1:8" x14ac:dyDescent="0.25">
      <c r="A9" s="78"/>
      <c r="B9" s="50"/>
      <c r="C9" s="49"/>
      <c r="D9" s="19" t="s">
        <v>101</v>
      </c>
      <c r="E9" s="4">
        <f>$E$2-2</f>
        <v>2020</v>
      </c>
      <c r="F9" s="39">
        <v>4010</v>
      </c>
      <c r="G9" s="20"/>
      <c r="H9" s="7"/>
    </row>
    <row r="10" spans="1:8" ht="15" customHeight="1" x14ac:dyDescent="0.25">
      <c r="A10" s="82" t="s">
        <v>235</v>
      </c>
      <c r="B10" s="52"/>
      <c r="C10" s="51" t="s">
        <v>103</v>
      </c>
      <c r="D10" s="1" t="s">
        <v>102</v>
      </c>
      <c r="F10" s="1">
        <f>IFERROR(IF(F11/F12&lt;=1.5,0,IF(F11/F12&gt;=10,1,(F11/F12-1.5)/8.5))*G10,G10/3)</f>
        <v>0.67914438502673813</v>
      </c>
      <c r="G10" s="1">
        <v>5</v>
      </c>
      <c r="H10" s="7">
        <f t="shared" ref="H10:H76" si="0">F10/G10</f>
        <v>0.13582887700534763</v>
      </c>
    </row>
    <row r="11" spans="1:8" x14ac:dyDescent="0.25">
      <c r="A11" s="82"/>
      <c r="B11" s="52"/>
      <c r="C11" s="52"/>
      <c r="D11" t="s">
        <v>105</v>
      </c>
      <c r="E11" s="4">
        <f>$E$2-2</f>
        <v>2020</v>
      </c>
      <c r="F11" s="22">
        <v>2336</v>
      </c>
      <c r="H11" s="7"/>
    </row>
    <row r="12" spans="1:8" x14ac:dyDescent="0.25">
      <c r="A12" s="82"/>
      <c r="B12" s="52"/>
      <c r="C12" s="52"/>
      <c r="D12" t="s">
        <v>109</v>
      </c>
      <c r="E12" s="4">
        <f>$E$2-2</f>
        <v>2020</v>
      </c>
      <c r="F12" s="22">
        <v>880</v>
      </c>
      <c r="H12" s="7"/>
    </row>
    <row r="13" spans="1:8" x14ac:dyDescent="0.25">
      <c r="A13" s="78" t="s">
        <v>111</v>
      </c>
      <c r="B13" s="50"/>
      <c r="C13" s="49" t="s">
        <v>107</v>
      </c>
      <c r="D13" s="1" t="s">
        <v>108</v>
      </c>
      <c r="E13" s="1"/>
      <c r="F13" s="1">
        <f>IFERROR(IF(F14/F12&lt;=0,0,IF(F14/F12&gt;=0.25,1,F14/F12/0.25))*G13,G13/3)</f>
        <v>5</v>
      </c>
      <c r="G13" s="1">
        <v>5</v>
      </c>
      <c r="H13" s="7">
        <f t="shared" si="0"/>
        <v>1</v>
      </c>
    </row>
    <row r="14" spans="1:8" x14ac:dyDescent="0.25">
      <c r="A14" s="78"/>
      <c r="B14" s="50"/>
      <c r="C14" s="50"/>
      <c r="D14" t="s">
        <v>110</v>
      </c>
      <c r="E14" s="4">
        <f>$E$2-2</f>
        <v>2020</v>
      </c>
      <c r="F14" s="22">
        <v>407</v>
      </c>
      <c r="H14" s="7"/>
    </row>
    <row r="15" spans="1:8" x14ac:dyDescent="0.25">
      <c r="A15" s="82" t="s">
        <v>115</v>
      </c>
      <c r="B15" s="66"/>
      <c r="C15" s="67" t="s">
        <v>112</v>
      </c>
      <c r="D15" s="1" t="s">
        <v>2</v>
      </c>
      <c r="E15" s="60"/>
      <c r="F15" s="11">
        <f>IFERROR(IF(F16/F17*100&lt;=80,0,IF(F16/F17*100&gt;=100,1,(F16/F17*100-80)/20))*G15,G15/3)</f>
        <v>5</v>
      </c>
      <c r="G15" s="1">
        <v>5</v>
      </c>
      <c r="H15" s="7">
        <f t="shared" si="0"/>
        <v>1</v>
      </c>
    </row>
    <row r="16" spans="1:8" x14ac:dyDescent="0.25">
      <c r="A16" s="82"/>
      <c r="B16" s="66"/>
      <c r="C16" s="66"/>
      <c r="D16" t="s">
        <v>113</v>
      </c>
      <c r="E16" s="4" t="str">
        <f>$E$2-2&amp;" "&amp;$E$2-3&amp;" "&amp;$E$2-4</f>
        <v>2020 2019 2018</v>
      </c>
      <c r="F16" s="22">
        <v>1577</v>
      </c>
      <c r="H16" s="7"/>
    </row>
    <row r="17" spans="1:8" x14ac:dyDescent="0.25">
      <c r="A17" s="82"/>
      <c r="B17" s="66"/>
      <c r="C17" s="66"/>
      <c r="D17" t="s">
        <v>114</v>
      </c>
      <c r="E17" s="4" t="str">
        <f>$E$2-2&amp;" "&amp;$E$2-3&amp;" "&amp;$E$2-4</f>
        <v>2020 2019 2018</v>
      </c>
      <c r="F17" s="22">
        <v>1577</v>
      </c>
      <c r="H17" s="7"/>
    </row>
    <row r="18" spans="1:8" x14ac:dyDescent="0.25">
      <c r="A18" s="78" t="s">
        <v>17</v>
      </c>
      <c r="B18" s="50"/>
      <c r="C18" s="49" t="s">
        <v>116</v>
      </c>
      <c r="D18" s="13" t="s">
        <v>14</v>
      </c>
      <c r="E18" s="5"/>
      <c r="F18" s="1">
        <f>IFERROR(IF(F19/F20&gt;=1,1,IF(F19/F20&lt;=0,0,(F19/F20)))*G18,G18/3)</f>
        <v>2</v>
      </c>
      <c r="G18" s="1">
        <v>2</v>
      </c>
      <c r="H18" s="7">
        <f t="shared" si="0"/>
        <v>1</v>
      </c>
    </row>
    <row r="19" spans="1:8" x14ac:dyDescent="0.25">
      <c r="A19" s="78"/>
      <c r="B19" s="50"/>
      <c r="C19" s="50"/>
      <c r="D19" s="12" t="s">
        <v>15</v>
      </c>
      <c r="E19" s="4">
        <f>$E$2-2</f>
        <v>2020</v>
      </c>
      <c r="F19" s="22">
        <v>1</v>
      </c>
      <c r="H19" s="7"/>
    </row>
    <row r="20" spans="1:8" x14ac:dyDescent="0.25">
      <c r="A20" s="78"/>
      <c r="B20" s="50"/>
      <c r="C20" s="50"/>
      <c r="D20" s="12" t="s">
        <v>16</v>
      </c>
      <c r="E20" s="4">
        <f>$E$2-2</f>
        <v>2020</v>
      </c>
      <c r="F20" s="22">
        <v>1</v>
      </c>
      <c r="H20" s="7"/>
    </row>
    <row r="21" spans="1:8" x14ac:dyDescent="0.25">
      <c r="A21" s="84" t="s">
        <v>119</v>
      </c>
      <c r="B21" s="52"/>
      <c r="C21" s="51" t="s">
        <v>118</v>
      </c>
      <c r="D21" s="13" t="s">
        <v>117</v>
      </c>
      <c r="E21" s="1"/>
      <c r="F21" s="1">
        <f>IFERROR(IF((F25+0.25*F26+0.1*F27)/(F22+0.25*F23+0.1*F24)&gt;=0.25,1,IF((F25+0.25*F26+0.1*F27)/(F22+0.25*F23+0.1*F24)&lt;=0,0,(F25+0.25*F26+0.1*F27)/(F22+0.25*F23+0.1*F24)/0.25))*G21,G21/3)</f>
        <v>4.9288667825253185</v>
      </c>
      <c r="G21" s="1">
        <f>IF(OR(Главная!AE14=E3,Главная!AE15=E3,Главная!AE16=E3,Главная!AE17=E3,Главная!AE22=E3),6,9)</f>
        <v>6</v>
      </c>
      <c r="H21" s="7">
        <f t="shared" si="0"/>
        <v>0.82147779708755309</v>
      </c>
    </row>
    <row r="22" spans="1:8" x14ac:dyDescent="0.25">
      <c r="A22" s="84"/>
      <c r="B22" s="52"/>
      <c r="C22" s="52"/>
      <c r="D22" s="12" t="s">
        <v>27</v>
      </c>
      <c r="E22" s="4">
        <f t="shared" ref="E22:E41" si="1">$E$2-2</f>
        <v>2020</v>
      </c>
      <c r="F22" s="22">
        <v>1665</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37</v>
      </c>
      <c r="H24" s="7"/>
    </row>
    <row r="25" spans="1:8" x14ac:dyDescent="0.25">
      <c r="A25" s="84"/>
      <c r="B25" s="52"/>
      <c r="C25" s="52"/>
      <c r="D25" s="12" t="s">
        <v>28</v>
      </c>
      <c r="E25" s="4">
        <f t="shared" si="1"/>
        <v>2020</v>
      </c>
      <c r="F25" s="22">
        <v>340</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27</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0.86106719707188828</v>
      </c>
      <c r="G28" s="1">
        <f>IF(OR(Главная!AE14=E3,Главная!AE15=E3,Главная!AE16=E3,Главная!AE17=E3,Главная!AE22=E3),6,0)</f>
        <v>6</v>
      </c>
      <c r="H28" s="7">
        <f t="shared" si="0"/>
        <v>0.14351119951198138</v>
      </c>
    </row>
    <row r="29" spans="1:8" x14ac:dyDescent="0.25">
      <c r="A29" s="78"/>
      <c r="B29" s="50"/>
      <c r="C29" s="50"/>
      <c r="D29" s="12" t="s">
        <v>86</v>
      </c>
      <c r="E29" s="14">
        <f>$E$2-3</f>
        <v>2019</v>
      </c>
      <c r="F29" s="22">
        <v>366</v>
      </c>
      <c r="H29" s="7"/>
    </row>
    <row r="30" spans="1:8" x14ac:dyDescent="0.25">
      <c r="A30" s="78"/>
      <c r="B30" s="50"/>
      <c r="C30" s="50"/>
      <c r="D30" s="12" t="s">
        <v>87</v>
      </c>
      <c r="E30" s="14">
        <f t="shared" ref="E30:E34" si="2">$E$2-3</f>
        <v>2019</v>
      </c>
      <c r="F30" s="22">
        <v>9</v>
      </c>
      <c r="H30" s="7"/>
    </row>
    <row r="31" spans="1:8" x14ac:dyDescent="0.25">
      <c r="A31" s="78"/>
      <c r="B31" s="50"/>
      <c r="C31" s="50"/>
      <c r="D31" s="12" t="s">
        <v>88</v>
      </c>
      <c r="E31" s="14">
        <f t="shared" si="2"/>
        <v>2019</v>
      </c>
      <c r="F31" s="22">
        <v>8880</v>
      </c>
      <c r="H31" s="7"/>
    </row>
    <row r="32" spans="1:8" x14ac:dyDescent="0.25">
      <c r="A32" s="78"/>
      <c r="B32" s="50"/>
      <c r="C32" s="50"/>
      <c r="D32" s="12" t="s">
        <v>89</v>
      </c>
      <c r="E32" s="14">
        <f t="shared" si="2"/>
        <v>2019</v>
      </c>
      <c r="F32" s="22">
        <v>0</v>
      </c>
      <c r="H32" s="7"/>
    </row>
    <row r="33" spans="1:8" x14ac:dyDescent="0.25">
      <c r="A33" s="78" t="s">
        <v>142</v>
      </c>
      <c r="B33" s="50"/>
      <c r="C33" s="50"/>
      <c r="D33" s="12" t="s">
        <v>90</v>
      </c>
      <c r="E33" s="14">
        <f t="shared" si="2"/>
        <v>2019</v>
      </c>
      <c r="F33" s="22">
        <v>80</v>
      </c>
      <c r="H33" s="7"/>
    </row>
    <row r="34" spans="1:8" x14ac:dyDescent="0.25">
      <c r="A34" s="78"/>
      <c r="B34" s="50"/>
      <c r="C34" s="50"/>
      <c r="D34" s="12" t="s">
        <v>91</v>
      </c>
      <c r="E34" s="14">
        <f t="shared" si="2"/>
        <v>2019</v>
      </c>
      <c r="F34" s="22">
        <v>0</v>
      </c>
      <c r="H34" s="7"/>
    </row>
    <row r="35" spans="1:8" x14ac:dyDescent="0.25">
      <c r="A35" s="78"/>
      <c r="B35" s="50"/>
      <c r="C35" s="50"/>
      <c r="D35" s="12" t="s">
        <v>92</v>
      </c>
      <c r="E35" s="4">
        <f t="shared" ref="E35:E37" si="3">$E$2-2</f>
        <v>2020</v>
      </c>
      <c r="F35" s="22">
        <v>11030</v>
      </c>
      <c r="H35" s="7"/>
    </row>
    <row r="36" spans="1:8" x14ac:dyDescent="0.25">
      <c r="A36" s="78"/>
      <c r="B36" s="50"/>
      <c r="C36" s="50"/>
      <c r="D36" s="12" t="s">
        <v>93</v>
      </c>
      <c r="E36" s="4">
        <f t="shared" si="3"/>
        <v>2020</v>
      </c>
      <c r="F36" s="22">
        <v>1058</v>
      </c>
      <c r="H36" s="7"/>
    </row>
    <row r="37" spans="1:8" x14ac:dyDescent="0.25">
      <c r="A37" s="78"/>
      <c r="B37" s="50"/>
      <c r="C37" s="50"/>
      <c r="D37" s="12" t="s">
        <v>94</v>
      </c>
      <c r="E37" s="4">
        <f t="shared" si="3"/>
        <v>2020</v>
      </c>
      <c r="F37" s="22">
        <v>3444</v>
      </c>
      <c r="H37" s="7"/>
    </row>
    <row r="38" spans="1:8" x14ac:dyDescent="0.25">
      <c r="A38" s="82" t="s">
        <v>123</v>
      </c>
      <c r="B38" s="51"/>
      <c r="C38" s="51" t="s">
        <v>120</v>
      </c>
      <c r="D38" s="13" t="s">
        <v>37</v>
      </c>
      <c r="E38" s="5"/>
      <c r="F38" s="1">
        <f>IFERROR(IF((F39+0.25*F40+0.1*F41)/(F22+0.25*F23+0.1*F24)&gt;=0.5,1,IF((F39+0.25*F40+0.1*F41)/(F22+0.25*F23+0.1*F24)&lt;=0,0,(F39+0.25*F40+0.1*F41)/(F22+0.25*F23+0.1*F24)/0.5))*G38,G38/3)</f>
        <v>0.41421465811709712</v>
      </c>
      <c r="G38" s="1">
        <f>IF(OR(Главная!AE14=E3,Главная!AE15=E3,Главная!AE16=E3,Главная!AE17=E3,Главная!AE22=E3),6,9)</f>
        <v>6</v>
      </c>
      <c r="H38" s="7">
        <f t="shared" si="0"/>
        <v>6.9035776352849521E-2</v>
      </c>
    </row>
    <row r="39" spans="1:8" x14ac:dyDescent="0.25">
      <c r="A39" s="82"/>
      <c r="B39" s="52"/>
      <c r="C39" s="52"/>
      <c r="D39" s="12" t="s">
        <v>121</v>
      </c>
      <c r="E39" s="4">
        <f t="shared" si="1"/>
        <v>2020</v>
      </c>
      <c r="F39" s="22">
        <v>57</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6</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5</v>
      </c>
      <c r="G52" s="1">
        <v>5</v>
      </c>
      <c r="H52" s="7">
        <f t="shared" si="0"/>
        <v>1</v>
      </c>
    </row>
    <row r="53" spans="1:8" x14ac:dyDescent="0.25">
      <c r="A53" s="84"/>
      <c r="B53" s="52"/>
      <c r="C53" s="52"/>
      <c r="D53" s="12" t="s">
        <v>131</v>
      </c>
      <c r="E53" s="8" t="str">
        <f>"на 01.10."&amp;$E$2-3</f>
        <v>на 01.10.2019</v>
      </c>
      <c r="F53" s="22">
        <v>827</v>
      </c>
      <c r="H53" s="7"/>
    </row>
    <row r="54" spans="1:8" x14ac:dyDescent="0.25">
      <c r="A54" s="84"/>
      <c r="B54" s="52"/>
      <c r="C54" s="52"/>
      <c r="D54" s="12" t="s">
        <v>132</v>
      </c>
      <c r="E54" s="4" t="str">
        <f>"на 01.10."&amp;$E$2-2</f>
        <v>на 01.10.2020</v>
      </c>
      <c r="F54" s="22">
        <v>772</v>
      </c>
      <c r="H54" s="7"/>
    </row>
    <row r="55" spans="1:8" ht="15" customHeight="1" x14ac:dyDescent="0.25">
      <c r="A55" s="88" t="s">
        <v>59</v>
      </c>
      <c r="B55" s="91" t="s">
        <v>140</v>
      </c>
      <c r="C55" s="11" t="s">
        <v>134</v>
      </c>
      <c r="D55" s="13" t="s">
        <v>53</v>
      </c>
      <c r="E55" s="5"/>
      <c r="F55" s="1">
        <f>IFERROR(IF((F62/(F56+F59)+F63/(F57+F60)+F64/(F58+F61))/3*100&lt;=5,0,IF((F62/(F56+F59)+F63/(F57+F60)+F64/(F58+F61))/3*100&gt;=100,1,((F62/(F56+F59)+F63/(F57+F60)+F64/(F58+F61))/3*100-5)/95))*G55,"")</f>
        <v>0</v>
      </c>
      <c r="G55" s="1">
        <f>IF(OR(Главная!AE13=E3,Главная!AE14=E3,Главная!AE15=E3,Главная!AE21=E3,Главная!AE22=E3),8,0)</f>
        <v>0</v>
      </c>
      <c r="H55" s="7" t="e">
        <f t="shared" si="0"/>
        <v>#DIV/0!</v>
      </c>
    </row>
    <row r="56" spans="1:8" x14ac:dyDescent="0.25">
      <c r="A56" s="88"/>
      <c r="B56" s="92"/>
      <c r="C56" s="9"/>
      <c r="D56" s="12" t="s">
        <v>54</v>
      </c>
      <c r="E56" s="8">
        <f>$E$2-5</f>
        <v>2017</v>
      </c>
      <c r="F56" s="38">
        <v>1051.2</v>
      </c>
      <c r="H56" s="7"/>
    </row>
    <row r="57" spans="1:8" x14ac:dyDescent="0.25">
      <c r="A57" s="88"/>
      <c r="B57" s="92"/>
      <c r="C57" s="9"/>
      <c r="D57" s="12" t="s">
        <v>54</v>
      </c>
      <c r="E57" s="8">
        <f>$E$2-4</f>
        <v>2018</v>
      </c>
      <c r="F57" s="38">
        <v>1047.5</v>
      </c>
      <c r="H57" s="7"/>
    </row>
    <row r="58" spans="1:8" x14ac:dyDescent="0.25">
      <c r="A58" s="88"/>
      <c r="B58" s="92"/>
      <c r="C58" s="9"/>
      <c r="D58" s="12" t="s">
        <v>54</v>
      </c>
      <c r="E58" s="8">
        <f>$E$2-3</f>
        <v>2019</v>
      </c>
      <c r="F58" s="38">
        <v>1059.5</v>
      </c>
      <c r="H58" s="7"/>
    </row>
    <row r="59" spans="1:8" x14ac:dyDescent="0.25">
      <c r="A59" s="88"/>
      <c r="B59" s="92"/>
      <c r="C59" s="9"/>
      <c r="D59" s="12" t="s">
        <v>55</v>
      </c>
      <c r="E59" s="8">
        <f>$E$2-5</f>
        <v>2017</v>
      </c>
      <c r="F59" s="38">
        <v>56.2</v>
      </c>
      <c r="H59" s="7"/>
    </row>
    <row r="60" spans="1:8" x14ac:dyDescent="0.25">
      <c r="A60" s="88"/>
      <c r="B60" s="92"/>
      <c r="C60" s="9"/>
      <c r="D60" s="12" t="s">
        <v>55</v>
      </c>
      <c r="E60" s="8">
        <f>$E$2-4</f>
        <v>2018</v>
      </c>
      <c r="F60" s="38">
        <v>54.6</v>
      </c>
      <c r="H60" s="7"/>
    </row>
    <row r="61" spans="1:8" x14ac:dyDescent="0.25">
      <c r="A61" s="88"/>
      <c r="B61" s="92"/>
      <c r="C61" s="9"/>
      <c r="D61" s="12" t="s">
        <v>55</v>
      </c>
      <c r="E61" s="8">
        <f>$E$2-3</f>
        <v>2019</v>
      </c>
      <c r="F61" s="38">
        <v>56.5</v>
      </c>
      <c r="H61" s="7"/>
    </row>
    <row r="62" spans="1:8" x14ac:dyDescent="0.25">
      <c r="A62" s="88"/>
      <c r="B62" s="92"/>
      <c r="C62" s="9"/>
      <c r="D62" s="12" t="s">
        <v>56</v>
      </c>
      <c r="E62" s="8">
        <f>$E$2-5</f>
        <v>2017</v>
      </c>
      <c r="F62" s="38">
        <v>380</v>
      </c>
      <c r="H62" s="7"/>
    </row>
    <row r="63" spans="1:8" x14ac:dyDescent="0.25">
      <c r="A63" s="88"/>
      <c r="B63" s="92"/>
      <c r="C63" s="9"/>
      <c r="D63" s="12" t="s">
        <v>56</v>
      </c>
      <c r="E63" s="8">
        <f>$E$2-4</f>
        <v>2018</v>
      </c>
      <c r="F63" s="38">
        <v>830</v>
      </c>
      <c r="H63" s="7"/>
    </row>
    <row r="64" spans="1:8" x14ac:dyDescent="0.25">
      <c r="A64" s="88"/>
      <c r="B64" s="92"/>
      <c r="C64" s="9"/>
      <c r="D64" s="12" t="s">
        <v>56</v>
      </c>
      <c r="E64" s="8">
        <f>$E$2-3</f>
        <v>2019</v>
      </c>
      <c r="F64" s="38">
        <v>1149</v>
      </c>
      <c r="H64" s="7"/>
    </row>
    <row r="65" spans="1:8" x14ac:dyDescent="0.25">
      <c r="A65" s="87" t="s">
        <v>79</v>
      </c>
      <c r="B65" s="92"/>
      <c r="C65" s="11" t="s">
        <v>135</v>
      </c>
      <c r="D65" s="35" t="s">
        <v>57</v>
      </c>
      <c r="E65" s="36"/>
      <c r="F65" s="1">
        <f>IFERROR(IF((F66/(F56+F59)+F67/(F57+F60)+F68/(F58+F61))/3&lt;=100,0,IF((F66/(F56+F59)+F67/(F57+F60)+F68/(F58+F61))/3&gt;=1000,1,((F66/(F56+F59)+F67/(F57+F60)+F68/(F58+F61))/3-100)/900))*G65," ")</f>
        <v>3.1206495340328533</v>
      </c>
      <c r="G65" s="1">
        <f>IF(OR(Главная!AE16=E3,Главная!AE17=E3,Главная!AE19=E3),10,IF(OR(Главная!AE13=E3,Главная!AE14=E3,Главная!AE15=E3,Главная!AE21=E3,Главная!AE22=E3),8,0))</f>
        <v>10</v>
      </c>
      <c r="H65" s="7">
        <f t="shared" si="0"/>
        <v>0.31206495340328533</v>
      </c>
    </row>
    <row r="66" spans="1:8" x14ac:dyDescent="0.25">
      <c r="A66" s="87"/>
      <c r="B66" s="92"/>
      <c r="C66" s="9"/>
      <c r="D66" s="37" t="s">
        <v>161</v>
      </c>
      <c r="E66" s="8">
        <v>2017</v>
      </c>
      <c r="F66" s="38">
        <v>265431.7</v>
      </c>
      <c r="H66" s="7"/>
    </row>
    <row r="67" spans="1:8" x14ac:dyDescent="0.25">
      <c r="A67" s="87"/>
      <c r="B67" s="92"/>
      <c r="C67" s="9"/>
      <c r="D67" s="37" t="s">
        <v>161</v>
      </c>
      <c r="E67" s="8">
        <v>2018</v>
      </c>
      <c r="F67" s="38">
        <v>382808.6</v>
      </c>
      <c r="H67" s="7"/>
    </row>
    <row r="68" spans="1:8"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4.088146661436717</v>
      </c>
      <c r="G69" s="1">
        <f>IF(OR(Главная!AE16=E3,Главная!AE17=E3,Главная!AE19=E3),10,IF(OR(Главная!AE13=E3,Главная!AE14=E3,Главная!AE15=E3,Главная!AE21=E3,Главная!AE22=E3),7,15))</f>
        <v>10</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9.6209638756671652</v>
      </c>
      <c r="G76" s="1">
        <f>IF(OR(Главная!AE16=E3,Главная!AE17=E3,Главная!AE19=E3),10,IF(OR(Главная!AE13=E3,Главная!AE14=E3,Главная!AE15=E3,Главная!AE21=E3,Главная!AE22=E3),7,15))</f>
        <v>10</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68.762353314860619</v>
      </c>
      <c r="G89" s="1">
        <v>100</v>
      </c>
      <c r="H89" s="7">
        <f t="shared" ref="H89" si="5">F89/G89</f>
        <v>0.68762353314860614</v>
      </c>
    </row>
    <row r="90" spans="1:8" x14ac:dyDescent="0.25">
      <c r="A90" s="90"/>
      <c r="D90" s="12" t="s">
        <v>232</v>
      </c>
      <c r="E90" s="4">
        <f t="shared" ref="E90:E92" si="6">$E$2-2</f>
        <v>2020</v>
      </c>
      <c r="F90" s="22">
        <v>10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row r="94" spans="1:8" x14ac:dyDescent="0.25">
      <c r="C94" s="11" t="s">
        <v>96</v>
      </c>
      <c r="D94" s="86" t="s">
        <v>97</v>
      </c>
      <c r="E94" s="86"/>
      <c r="F94" s="86"/>
      <c r="G94" s="11"/>
      <c r="H94" s="7"/>
    </row>
    <row r="95" spans="1:8" x14ac:dyDescent="0.25">
      <c r="C95" s="9"/>
      <c r="D95" s="26" t="s">
        <v>124</v>
      </c>
      <c r="E95" s="65" t="s">
        <v>230</v>
      </c>
      <c r="F95" s="24">
        <f>20/3*2</f>
        <v>13.333333333333334</v>
      </c>
      <c r="G95" s="23"/>
      <c r="H95" s="7" t="e">
        <f t="shared" ref="H95:H99" si="7">F95/G95</f>
        <v>#DIV/0!</v>
      </c>
    </row>
    <row r="96" spans="1:8" x14ac:dyDescent="0.25">
      <c r="C96" s="9"/>
      <c r="D96" s="28"/>
      <c r="E96" s="27"/>
      <c r="F96" s="25"/>
      <c r="G96" s="23"/>
      <c r="H96" s="7" t="e">
        <f t="shared" si="7"/>
        <v>#DIV/0!</v>
      </c>
    </row>
    <row r="97" spans="3:8" x14ac:dyDescent="0.25">
      <c r="C97" s="9"/>
      <c r="D97" s="28"/>
      <c r="E97" s="27"/>
      <c r="F97" s="25"/>
      <c r="G97" s="23"/>
      <c r="H97" s="7" t="e">
        <f t="shared" si="7"/>
        <v>#DIV/0!</v>
      </c>
    </row>
    <row r="98" spans="3:8" x14ac:dyDescent="0.25">
      <c r="C98" s="9"/>
      <c r="D98" s="28"/>
      <c r="E98" s="27"/>
      <c r="F98" s="25"/>
      <c r="G98" s="23"/>
      <c r="H98" s="7" t="e">
        <f t="shared" si="7"/>
        <v>#DIV/0!</v>
      </c>
    </row>
    <row r="99" spans="3:8" x14ac:dyDescent="0.25">
      <c r="C99" s="9"/>
      <c r="D99" s="28"/>
      <c r="E99" s="27"/>
      <c r="F99" s="25"/>
      <c r="G99" s="23"/>
      <c r="H99" s="7" t="e">
        <f t="shared" si="7"/>
        <v>#DIV/0!</v>
      </c>
    </row>
  </sheetData>
  <mergeCells count="18">
    <mergeCell ref="A65:A68"/>
    <mergeCell ref="A69:A75"/>
    <mergeCell ref="A7:A9"/>
    <mergeCell ref="A10:A12"/>
    <mergeCell ref="A13:A14"/>
    <mergeCell ref="B55:B88"/>
    <mergeCell ref="D94:F94"/>
    <mergeCell ref="A15:A17"/>
    <mergeCell ref="A18:A20"/>
    <mergeCell ref="A21:A27"/>
    <mergeCell ref="A28:A32"/>
    <mergeCell ref="A33:A37"/>
    <mergeCell ref="A76:A88"/>
    <mergeCell ref="A89:A92"/>
    <mergeCell ref="A38:A41"/>
    <mergeCell ref="A42:A51"/>
    <mergeCell ref="A52:A54"/>
    <mergeCell ref="A55:A64"/>
  </mergeCells>
  <conditionalFormatting sqref="H1:H2 H4:H28 H38:H76">
    <cfRule type="iconSet" priority="8">
      <iconSet>
        <cfvo type="percent" val="0"/>
        <cfvo type="percent" val="33"/>
        <cfvo type="percent" val="67"/>
      </iconSet>
    </cfRule>
  </conditionalFormatting>
  <conditionalFormatting sqref="H89:H92">
    <cfRule type="iconSet" priority="7">
      <iconSet>
        <cfvo type="percent" val="0"/>
        <cfvo type="percent" val="33"/>
        <cfvo type="percent" val="67"/>
      </iconSet>
    </cfRule>
  </conditionalFormatting>
  <conditionalFormatting sqref="H94:H99">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conditionalFormatting sqref="F7">
    <cfRule type="expression" dxfId="8" priority="3">
      <formula>$F$7*3=$G$7</formula>
    </cfRule>
  </conditionalFormatting>
  <conditionalFormatting sqref="F1:F28 F38:F1048576">
    <cfRule type="expression" priority="1">
      <formula>$F:$F*3=$G:$G</formula>
    </cfRule>
    <cfRule type="expression" priority="2">
      <formula>$F$7*3=$G$7</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Главная!$AE$13:$AE$22</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tabColor rgb="FF92D050"/>
  </sheetPr>
  <dimension ref="A2:H97"/>
  <sheetViews>
    <sheetView workbookViewId="0">
      <selection activeCell="D89" sqref="D89"/>
    </sheetView>
  </sheetViews>
  <sheetFormatPr defaultRowHeight="15" x14ac:dyDescent="0.25"/>
  <cols>
    <col min="1" max="1" width="55" customWidth="1"/>
    <col min="2" max="2" width="12.5703125" customWidth="1"/>
    <col min="3" max="3" width="83.140625" style="12" customWidth="1"/>
    <col min="4" max="4" width="49.140625" style="4" customWidth="1"/>
    <col min="5" max="5" width="11.42578125" customWidth="1"/>
    <col min="6" max="6" width="20" customWidth="1"/>
    <col min="7" max="7" width="16" customWidth="1"/>
    <col min="8" max="8" width="37.42578125" customWidth="1"/>
  </cols>
  <sheetData>
    <row r="2" spans="1:7" x14ac:dyDescent="0.25">
      <c r="A2" s="1" t="s">
        <v>80</v>
      </c>
      <c r="C2" s="12" t="s">
        <v>24</v>
      </c>
      <c r="D2" s="43">
        <v>2022</v>
      </c>
    </row>
    <row r="3" spans="1:7" x14ac:dyDescent="0.25">
      <c r="A3" t="s">
        <v>81</v>
      </c>
      <c r="C3" s="12" t="s">
        <v>191</v>
      </c>
      <c r="D3" s="58" t="s">
        <v>180</v>
      </c>
      <c r="E3" s="57" t="s">
        <v>220</v>
      </c>
    </row>
    <row r="4" spans="1:7" x14ac:dyDescent="0.25">
      <c r="C4" s="12" t="s">
        <v>75</v>
      </c>
      <c r="D4" s="10">
        <f>E83</f>
        <v>66.553820387976245</v>
      </c>
    </row>
    <row r="6" spans="1:7" x14ac:dyDescent="0.25">
      <c r="A6" t="s">
        <v>7</v>
      </c>
      <c r="C6" s="12" t="s">
        <v>25</v>
      </c>
      <c r="D6" s="4" t="s">
        <v>21</v>
      </c>
      <c r="F6" t="s">
        <v>20</v>
      </c>
      <c r="G6" t="s">
        <v>42</v>
      </c>
    </row>
    <row r="7" spans="1:7" x14ac:dyDescent="0.25">
      <c r="A7" s="79" t="s">
        <v>9</v>
      </c>
      <c r="B7" s="49" t="s">
        <v>0</v>
      </c>
      <c r="C7" s="13" t="s">
        <v>1</v>
      </c>
      <c r="D7" s="5"/>
      <c r="E7" s="1">
        <f>IF(E8&gt;=100,1,IF(E8&lt;=40,0,(E8-40)/60))*F7</f>
        <v>15.954333333333336</v>
      </c>
      <c r="F7" s="2">
        <v>23</v>
      </c>
      <c r="G7" s="7">
        <f>E7/F7</f>
        <v>0.69366666666666676</v>
      </c>
    </row>
    <row r="8" spans="1:7" x14ac:dyDescent="0.25">
      <c r="A8" s="79"/>
      <c r="B8" s="50"/>
      <c r="C8" s="12" t="s">
        <v>4</v>
      </c>
      <c r="D8" s="4">
        <f>$D$2-2</f>
        <v>2020</v>
      </c>
      <c r="E8" s="22">
        <v>81.62</v>
      </c>
      <c r="G8" s="7"/>
    </row>
    <row r="9" spans="1:7" x14ac:dyDescent="0.25">
      <c r="A9" s="81" t="s">
        <v>10</v>
      </c>
      <c r="B9" s="47" t="s">
        <v>3</v>
      </c>
      <c r="C9" s="13" t="s">
        <v>2</v>
      </c>
      <c r="D9" s="5"/>
      <c r="E9" s="1">
        <f>IF(E10/E11*100&gt;=100,1,IF(E10/E11*100&lt;=80,0,((E10/E11*100)-80)/20))*F9</f>
        <v>3</v>
      </c>
      <c r="F9" s="46">
        <v>3</v>
      </c>
      <c r="G9" s="7">
        <f t="shared" ref="G9:G38" si="0">E9/F9</f>
        <v>1</v>
      </c>
    </row>
    <row r="10" spans="1:7" x14ac:dyDescent="0.25">
      <c r="A10" s="81"/>
      <c r="B10" s="48"/>
      <c r="C10" s="12" t="s">
        <v>23</v>
      </c>
      <c r="D10" s="4" t="str">
        <f>$D$2-2&amp;" "&amp;$D$2-3&amp;" "&amp;$D$2-4</f>
        <v>2020 2019 2018</v>
      </c>
      <c r="E10" s="22">
        <v>223</v>
      </c>
      <c r="G10" s="7"/>
    </row>
    <row r="11" spans="1:7" x14ac:dyDescent="0.25">
      <c r="A11" s="81"/>
      <c r="B11" s="48"/>
      <c r="C11" s="12" t="s">
        <v>22</v>
      </c>
      <c r="D11" s="4" t="str">
        <f>$D$2-2&amp;" "&amp;$D$2-3&amp;" "&amp;$D$2-4</f>
        <v>2020 2019 2018</v>
      </c>
      <c r="E11" s="22">
        <v>223</v>
      </c>
      <c r="G11" s="7"/>
    </row>
    <row r="12" spans="1:7" x14ac:dyDescent="0.25">
      <c r="A12" s="79" t="s">
        <v>8</v>
      </c>
      <c r="B12" s="49" t="s">
        <v>6</v>
      </c>
      <c r="C12" s="13" t="s">
        <v>5</v>
      </c>
      <c r="D12" s="5"/>
      <c r="E12" s="1">
        <f>IF(E14/E13&gt;=0.5,1,IF(E14/E13&lt;=0,0,(E14/E13/0.5)))*F12</f>
        <v>0.2119205298013245</v>
      </c>
      <c r="F12" s="46">
        <v>4</v>
      </c>
      <c r="G12" s="7">
        <f t="shared" si="0"/>
        <v>5.2980132450331126E-2</v>
      </c>
    </row>
    <row r="13" spans="1:7" x14ac:dyDescent="0.25">
      <c r="A13" s="79"/>
      <c r="B13" s="50"/>
      <c r="C13" s="12" t="s">
        <v>11</v>
      </c>
      <c r="D13" s="4">
        <f>$D$2-2</f>
        <v>2020</v>
      </c>
      <c r="E13" s="22">
        <v>151</v>
      </c>
      <c r="G13" s="7"/>
    </row>
    <row r="14" spans="1:7" x14ac:dyDescent="0.25">
      <c r="A14" s="79"/>
      <c r="B14" s="50"/>
      <c r="C14" s="12" t="s">
        <v>12</v>
      </c>
      <c r="D14" s="4">
        <f>$D$2-2</f>
        <v>2020</v>
      </c>
      <c r="E14" s="22">
        <v>4</v>
      </c>
      <c r="G14" s="7"/>
    </row>
    <row r="15" spans="1:7" x14ac:dyDescent="0.25">
      <c r="A15" s="81" t="s">
        <v>17</v>
      </c>
      <c r="B15" s="47" t="s">
        <v>13</v>
      </c>
      <c r="C15" s="13" t="s">
        <v>14</v>
      </c>
      <c r="D15" s="5"/>
      <c r="E15" s="1">
        <f>IF(E16/E17&gt;=1,1,IF(E16/E17&lt;=0,0,(E16/E17)))*F15</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1</v>
      </c>
      <c r="G17" s="7"/>
    </row>
    <row r="18" spans="1:7" x14ac:dyDescent="0.25">
      <c r="A18" s="79" t="s">
        <v>217</v>
      </c>
      <c r="B18" s="49" t="s">
        <v>19</v>
      </c>
      <c r="C18" s="13" t="s">
        <v>18</v>
      </c>
      <c r="D18" s="5"/>
      <c r="E18" s="1">
        <f>IF(IF(E19+E22*0.25+E25*0.1&lt;=0,0,(((E20+0.25*E23+0.1*E26)+3*(E21+0.25*E24+0.1*E27))/(E19+E22*0.25+E25*0.1)))&gt;=0.25,1,IF(IF(E19+E22*0.25+E25*0.1&lt;=0,1,(((E20+0.25*E23+0.1*E26)+3*(E21+0.25*E24+0.1*E27))/(E19+E22*0.25+E25*0.1)))&lt;=0,0,IF(E19+E22*0.25+E25*0.1&lt;=0,1,(((E20+0.25*E23+0.1*E26)+3*(E21+0.25*E24+0.1*E27))/(E19+E22*0.25+E25*0.1))/0.25)))*F18</f>
        <v>5.0126582278481013</v>
      </c>
      <c r="F18" s="11">
        <f>IF(OR(D3=Главная!AA14,D3=Главная!AA15,D3=Главная!AA17,D3=Главная!AA18,D3=Главная!AA21),6,9)</f>
        <v>9</v>
      </c>
      <c r="G18" s="7">
        <f t="shared" si="0"/>
        <v>0.55696202531645567</v>
      </c>
    </row>
    <row r="19" spans="1:7" x14ac:dyDescent="0.25">
      <c r="A19" s="79"/>
      <c r="B19" s="50"/>
      <c r="C19" s="12" t="s">
        <v>26</v>
      </c>
      <c r="D19" s="4">
        <f t="shared" ref="D19:D41" si="1">$D$2-2</f>
        <v>2020</v>
      </c>
      <c r="E19" s="22">
        <v>474</v>
      </c>
      <c r="G19" s="7"/>
    </row>
    <row r="20" spans="1:7" x14ac:dyDescent="0.25">
      <c r="A20" s="79"/>
      <c r="B20" s="50"/>
      <c r="C20" s="12" t="s">
        <v>27</v>
      </c>
      <c r="D20" s="4">
        <f t="shared" si="1"/>
        <v>2020</v>
      </c>
      <c r="E20" s="22">
        <v>66</v>
      </c>
      <c r="G20" s="7"/>
    </row>
    <row r="21" spans="1:7" x14ac:dyDescent="0.25">
      <c r="A21" s="79"/>
      <c r="B21" s="50"/>
      <c r="C21" s="12" t="s">
        <v>28</v>
      </c>
      <c r="D21" s="4">
        <f t="shared" si="1"/>
        <v>2020</v>
      </c>
      <c r="E21" s="22">
        <v>0</v>
      </c>
      <c r="G21" s="7"/>
    </row>
    <row r="22" spans="1:7" x14ac:dyDescent="0.25">
      <c r="A22" s="79"/>
      <c r="B22" s="50"/>
      <c r="C22" s="12" t="s">
        <v>29</v>
      </c>
      <c r="D22" s="4">
        <f t="shared" si="1"/>
        <v>2020</v>
      </c>
      <c r="E22" s="22">
        <v>0</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0</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0</v>
      </c>
      <c r="G27" s="7"/>
    </row>
    <row r="28" spans="1:7" x14ac:dyDescent="0.25">
      <c r="A28" s="77" t="s">
        <v>143</v>
      </c>
      <c r="B28" s="47" t="s">
        <v>85</v>
      </c>
      <c r="C28" s="13" t="s">
        <v>84</v>
      </c>
      <c r="E28" s="11">
        <f>IFERROR(IF(IF(AND(E35+0.25*E36+0.1*E37=0,0.25*(E29+0.25*E30+0.1*E31)+(E32+0.25*E33+0.1*E34)&gt;0),1,(0.25*(E29+0.25*E30+0.1*E31)+(E32+0.25*E33+0.1*E34))/(E35+0.25*E36+0.1*E37))&gt;=0.2,1,IF(IF(E35+0.25*E36+0.1*E37=0,1,(0.25*(E29+0.25*E30+0.1*E31)+(E32+0.25*E33+0.1*E34))/(E35+0.25*E36+0.1*E37))&lt;=0,0,IF(E35+0.25*E36+0.1*E37=0,1,(0.25*(E29+0.25*E30+0.1*E31)+(E32+0.25*E33+0.1*E34))/(E35+0.25*E36+0.1*E37)/0.2)))*F28," ")</f>
        <v>0</v>
      </c>
      <c r="F28" s="1">
        <f>IF(OR(D3=Главная!AA14,D3=Главная!AA15,D3=Главная!AA17,D3=Главная!AA18,D3=Главная!AA21),6,0)</f>
        <v>0</v>
      </c>
      <c r="G28" s="7" t="e">
        <f t="shared" si="0"/>
        <v>#DIV/0!</v>
      </c>
    </row>
    <row r="29" spans="1:7" x14ac:dyDescent="0.25">
      <c r="A29" s="77"/>
      <c r="B29" s="48"/>
      <c r="C29" s="12" t="s">
        <v>86</v>
      </c>
      <c r="D29" s="14">
        <f>$D$2-3</f>
        <v>2019</v>
      </c>
      <c r="E29" s="22"/>
      <c r="G29" s="7"/>
    </row>
    <row r="30" spans="1:7" x14ac:dyDescent="0.25">
      <c r="A30" s="77"/>
      <c r="B30" s="48"/>
      <c r="C30" s="12" t="s">
        <v>87</v>
      </c>
      <c r="D30" s="14">
        <f t="shared" ref="D30:D34" si="2">$D$2-3</f>
        <v>2019</v>
      </c>
      <c r="E30" s="22"/>
      <c r="G30" s="7"/>
    </row>
    <row r="31" spans="1:7" x14ac:dyDescent="0.25">
      <c r="A31" s="77"/>
      <c r="B31" s="48"/>
      <c r="C31" s="12" t="s">
        <v>88</v>
      </c>
      <c r="D31" s="14">
        <f t="shared" si="2"/>
        <v>2019</v>
      </c>
      <c r="E31" s="22"/>
      <c r="G31" s="7"/>
    </row>
    <row r="32" spans="1:7" ht="39.75" customHeight="1" x14ac:dyDescent="0.25">
      <c r="A32" s="77"/>
      <c r="B32" s="48"/>
      <c r="C32" s="12" t="s">
        <v>89</v>
      </c>
      <c r="D32" s="14">
        <f t="shared" si="2"/>
        <v>2019</v>
      </c>
      <c r="E32" s="22"/>
      <c r="G32" s="7"/>
    </row>
    <row r="33" spans="1:7" x14ac:dyDescent="0.25">
      <c r="A33" s="77" t="s">
        <v>142</v>
      </c>
      <c r="B33" s="48"/>
      <c r="C33" s="12" t="s">
        <v>90</v>
      </c>
      <c r="D33" s="14">
        <f t="shared" si="2"/>
        <v>2019</v>
      </c>
      <c r="E33" s="22"/>
      <c r="G33" s="7"/>
    </row>
    <row r="34" spans="1:7" x14ac:dyDescent="0.25">
      <c r="A34" s="77"/>
      <c r="B34" s="48"/>
      <c r="C34" s="12" t="s">
        <v>91</v>
      </c>
      <c r="D34" s="14">
        <f t="shared" si="2"/>
        <v>2019</v>
      </c>
      <c r="E34" s="22"/>
      <c r="G34" s="7"/>
    </row>
    <row r="35" spans="1:7" x14ac:dyDescent="0.25">
      <c r="A35" s="77"/>
      <c r="B35" s="48"/>
      <c r="C35" s="12" t="s">
        <v>92</v>
      </c>
      <c r="D35" s="4">
        <f t="shared" ref="D35:D37" si="3">$D$2-2</f>
        <v>2020</v>
      </c>
      <c r="E35" s="22">
        <f>E19+E20</f>
        <v>540</v>
      </c>
      <c r="G35" s="7"/>
    </row>
    <row r="36" spans="1:7" x14ac:dyDescent="0.25">
      <c r="A36" s="77"/>
      <c r="B36" s="48"/>
      <c r="C36" s="12" t="s">
        <v>93</v>
      </c>
      <c r="D36" s="4">
        <f t="shared" si="3"/>
        <v>2020</v>
      </c>
      <c r="E36" s="22">
        <f>E22+E23</f>
        <v>0</v>
      </c>
      <c r="G36" s="7"/>
    </row>
    <row r="37" spans="1:7" x14ac:dyDescent="0.25">
      <c r="A37" s="77"/>
      <c r="B37" s="48"/>
      <c r="C37" s="12" t="s">
        <v>94</v>
      </c>
      <c r="D37" s="4">
        <f t="shared" si="3"/>
        <v>2020</v>
      </c>
      <c r="E37" s="22">
        <f>E25+E26</f>
        <v>0</v>
      </c>
      <c r="G37" s="7"/>
    </row>
    <row r="38" spans="1:7" x14ac:dyDescent="0.25">
      <c r="A38" s="78" t="s">
        <v>41</v>
      </c>
      <c r="B38" s="49" t="s">
        <v>36</v>
      </c>
      <c r="C38" s="13" t="s">
        <v>37</v>
      </c>
      <c r="D38" s="5"/>
      <c r="E38" s="1">
        <f>IF(((E39+E40*0.25+E41*0.1)/(E19+E22*0.25+E25*0.1))&gt;=0.5,1,IF((E39+E40*0.25+E41*0.1)/(E19+E22*0.25+E25*0.1)&lt;=0,0,((E39+E40*0.25+E41*0.1)/(E19+E22*0.25+E25*0.1)/0.5)))*F38</f>
        <v>0.49367088607594939</v>
      </c>
      <c r="F38" s="11">
        <f>IF(OR(D3=Главная!AA14,D3=Главная!AA15,D3=Главная!AA17,D3=Главная!AA18,D3=Главная!AA21),6,9)</f>
        <v>9</v>
      </c>
      <c r="G38" s="7">
        <f t="shared" si="0"/>
        <v>5.4852320675105488E-2</v>
      </c>
    </row>
    <row r="39" spans="1:7" x14ac:dyDescent="0.25">
      <c r="A39" s="78"/>
      <c r="B39" s="50"/>
      <c r="C39" s="12" t="s">
        <v>38</v>
      </c>
      <c r="D39" s="4">
        <f t="shared" si="1"/>
        <v>2020</v>
      </c>
      <c r="E39" s="22">
        <v>13</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0</v>
      </c>
      <c r="G41" s="7"/>
    </row>
    <row r="42" spans="1:7" ht="15" customHeight="1" x14ac:dyDescent="0.25">
      <c r="A42" s="77" t="s">
        <v>145</v>
      </c>
      <c r="B42" s="76" t="s">
        <v>44</v>
      </c>
      <c r="C42" s="13" t="s">
        <v>43</v>
      </c>
      <c r="D42" s="5"/>
      <c r="E42" s="1" t="str">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f>
        <v/>
      </c>
      <c r="F42" s="2">
        <v>25</v>
      </c>
      <c r="G42" s="7" t="e">
        <f>E42/F42</f>
        <v>#VALUE!</v>
      </c>
    </row>
    <row r="43" spans="1:7" x14ac:dyDescent="0.25">
      <c r="A43" s="77"/>
      <c r="B43" s="76" t="s">
        <v>218</v>
      </c>
      <c r="C43" s="12" t="s">
        <v>46</v>
      </c>
      <c r="D43" s="4" t="str">
        <f>$D$2-4&amp;" "&amp;$D$2-5&amp;" "&amp;$D$2-6</f>
        <v>2018 2017 2016</v>
      </c>
      <c r="E43" s="22"/>
    </row>
    <row r="44" spans="1:7" x14ac:dyDescent="0.25">
      <c r="A44" s="77"/>
      <c r="B44" s="76"/>
      <c r="C44" s="12" t="s">
        <v>45</v>
      </c>
      <c r="D44" s="4" t="str">
        <f>$D$2-3&amp;" "&amp;$D$2-4&amp;" "&amp;$D$2-5</f>
        <v>2019 2018 2017</v>
      </c>
      <c r="E44" s="22"/>
    </row>
    <row r="45" spans="1:7" x14ac:dyDescent="0.25">
      <c r="A45" s="79" t="s">
        <v>219</v>
      </c>
      <c r="B45" s="49" t="s">
        <v>48</v>
      </c>
      <c r="C45" s="13" t="s">
        <v>47</v>
      </c>
      <c r="D45" s="5"/>
      <c r="E45" s="1">
        <f>IF(E47/E46*100&lt;=30,0,IF(E47/E46*100&gt;=60,1,(E47/E46*100-30)/30))*F45</f>
        <v>5</v>
      </c>
      <c r="F45" s="46">
        <v>5</v>
      </c>
      <c r="G45" s="7">
        <f t="shared" ref="G45" si="4">E45/F45</f>
        <v>1</v>
      </c>
    </row>
    <row r="46" spans="1:7" x14ac:dyDescent="0.25">
      <c r="A46" s="79"/>
      <c r="B46" s="50"/>
      <c r="C46" s="12" t="s">
        <v>49</v>
      </c>
      <c r="D46" s="8">
        <f>$D$2-5</f>
        <v>2017</v>
      </c>
      <c r="E46" s="22">
        <v>101</v>
      </c>
    </row>
    <row r="47" spans="1:7" x14ac:dyDescent="0.25">
      <c r="A47" s="80"/>
      <c r="B47" s="50"/>
      <c r="C47" s="12" t="s">
        <v>50</v>
      </c>
      <c r="D47" s="4">
        <f t="shared" ref="D47" si="5">$D$2-2</f>
        <v>2020</v>
      </c>
      <c r="E47" s="29">
        <v>86</v>
      </c>
    </row>
    <row r="48" spans="1:7" s="56" customFormat="1" ht="15" customHeight="1" x14ac:dyDescent="0.25">
      <c r="A48" s="71" t="s">
        <v>224</v>
      </c>
      <c r="B48" s="72"/>
      <c r="C48" s="72"/>
      <c r="D48" s="72"/>
      <c r="E48" s="72"/>
      <c r="F48" s="72"/>
      <c r="G48" s="73"/>
    </row>
    <row r="49" spans="1:8" ht="15" customHeight="1" x14ac:dyDescent="0.25">
      <c r="A49" s="74" t="s">
        <v>59</v>
      </c>
      <c r="B49" s="59" t="s">
        <v>52</v>
      </c>
      <c r="C49" s="30" t="s">
        <v>53</v>
      </c>
      <c r="D49" s="31"/>
      <c r="E49" s="32">
        <f>IFERROR(IF((E56/(E50+E53)+E57/(E51+E54)+E58/(E52+E55))/3*100&lt;=5,0,IF((E56/(E50+E53)+E57/(E51+E54)+E58/(E52+E55))/3*100&gt;=100,1,((E56/(E50+E53)+E57/(E51+E54)+E58/(E52+E55))/3*100-5)/95))*F49,"")</f>
        <v>3.4663573753491654</v>
      </c>
      <c r="F49" s="32">
        <f>IF(OR(Главная!AA13=D3,Главная!AA14=D3,Главная!AA15=D3,Главная!AA16=D3,Главная!AA23=D3),5,0)</f>
        <v>5</v>
      </c>
      <c r="G49" s="33">
        <f t="shared" ref="G49" si="6">E49/F49</f>
        <v>0.69327147506983311</v>
      </c>
      <c r="H49" s="34"/>
    </row>
    <row r="50" spans="1:8" x14ac:dyDescent="0.25">
      <c r="A50" s="75"/>
      <c r="B50" s="55"/>
      <c r="C50" s="12" t="s">
        <v>54</v>
      </c>
      <c r="D50" s="8">
        <f>$D$2-5</f>
        <v>2017</v>
      </c>
      <c r="E50" s="22">
        <v>1051.2</v>
      </c>
    </row>
    <row r="51" spans="1:8" x14ac:dyDescent="0.25">
      <c r="A51" s="75"/>
      <c r="B51" s="55"/>
      <c r="C51" s="12" t="s">
        <v>54</v>
      </c>
      <c r="D51" s="8">
        <f>$D$2-4</f>
        <v>2018</v>
      </c>
      <c r="E51" s="22">
        <v>1047.5</v>
      </c>
    </row>
    <row r="52" spans="1:8" x14ac:dyDescent="0.25">
      <c r="A52" s="75"/>
      <c r="B52" s="55"/>
      <c r="C52" s="12" t="s">
        <v>54</v>
      </c>
      <c r="D52" s="8">
        <f>$D$2-3</f>
        <v>2019</v>
      </c>
      <c r="E52" s="22">
        <v>1059.5</v>
      </c>
    </row>
    <row r="53" spans="1:8" x14ac:dyDescent="0.25">
      <c r="A53" s="75"/>
      <c r="B53" s="55"/>
      <c r="C53" s="12" t="s">
        <v>55</v>
      </c>
      <c r="D53" s="8">
        <f>$D$2-5</f>
        <v>2017</v>
      </c>
      <c r="E53" s="22">
        <v>56.2</v>
      </c>
    </row>
    <row r="54" spans="1:8" x14ac:dyDescent="0.25">
      <c r="A54" s="75"/>
      <c r="B54" s="55"/>
      <c r="C54" s="12" t="s">
        <v>55</v>
      </c>
      <c r="D54" s="8">
        <f>$D$2-4</f>
        <v>2018</v>
      </c>
      <c r="E54" s="22">
        <v>54.6</v>
      </c>
    </row>
    <row r="55" spans="1:8" x14ac:dyDescent="0.25">
      <c r="A55" s="75"/>
      <c r="B55" s="55"/>
      <c r="C55" s="12" t="s">
        <v>55</v>
      </c>
      <c r="D55" s="8">
        <f>$D$2-3</f>
        <v>2019</v>
      </c>
      <c r="E55" s="22">
        <v>56.5</v>
      </c>
    </row>
    <row r="56" spans="1:8" x14ac:dyDescent="0.25">
      <c r="A56" s="75"/>
      <c r="B56" s="55"/>
      <c r="C56" s="12" t="s">
        <v>56</v>
      </c>
      <c r="D56" s="8">
        <f>$D$2-5</f>
        <v>2017</v>
      </c>
      <c r="E56" s="22">
        <v>380</v>
      </c>
    </row>
    <row r="57" spans="1:8" x14ac:dyDescent="0.25">
      <c r="A57" s="75"/>
      <c r="B57" s="55"/>
      <c r="C57" s="12" t="s">
        <v>56</v>
      </c>
      <c r="D57" s="8">
        <f>$D$2-4</f>
        <v>2018</v>
      </c>
      <c r="E57" s="22">
        <v>830</v>
      </c>
      <c r="F57" s="9"/>
    </row>
    <row r="58" spans="1:8" x14ac:dyDescent="0.25">
      <c r="A58" s="75"/>
      <c r="B58" s="55"/>
      <c r="C58" s="12" t="s">
        <v>56</v>
      </c>
      <c r="D58" s="8">
        <f>$D$2-3</f>
        <v>2019</v>
      </c>
      <c r="E58" s="22">
        <v>1149</v>
      </c>
      <c r="F58" s="9"/>
    </row>
    <row r="59" spans="1:8" x14ac:dyDescent="0.25">
      <c r="A59" s="82" t="s">
        <v>79</v>
      </c>
      <c r="B59" s="51" t="s">
        <v>58</v>
      </c>
      <c r="C59" s="13" t="s">
        <v>57</v>
      </c>
      <c r="D59" s="5"/>
      <c r="E59" s="1">
        <f>IFERROR(IF((E60/(E50+E53)+E61/(E51+E54)+E62/(E52+E55))/3&lt;=100,0,IF((E60/(E50+E53)+E61/(E51+E54)+E62/(E52+E55))/3&gt;=1000,1,((E60/(E50+E53)+E61/(E51+E54)+E62/(E52+E55))/3-100)/900))*F59," ")</f>
        <v>1.5603247670164266</v>
      </c>
      <c r="F59" s="11">
        <f>IF(OR(Главная!AA17=D3,Главная!AA20=D3),7,IF(OR(Главная!AA13=D3,Главная!AA14=D3,Главная!AA15=D3,Главная!AA16=D3,Главная!AA23=D3),5,0))</f>
        <v>5</v>
      </c>
      <c r="G59" s="7">
        <f t="shared" ref="G59" si="7">E59/F59</f>
        <v>0.31206495340328533</v>
      </c>
    </row>
    <row r="60" spans="1:8" x14ac:dyDescent="0.25">
      <c r="A60" s="82"/>
      <c r="B60" s="52"/>
      <c r="C60" s="12" t="s">
        <v>82</v>
      </c>
      <c r="D60" s="8">
        <f>$D$2-5</f>
        <v>2017</v>
      </c>
      <c r="E60" s="22">
        <v>265431.7</v>
      </c>
      <c r="F60" s="9"/>
    </row>
    <row r="61" spans="1:8" x14ac:dyDescent="0.25">
      <c r="A61" s="82"/>
      <c r="B61" s="52"/>
      <c r="C61" s="12" t="s">
        <v>82</v>
      </c>
      <c r="D61" s="8">
        <f>$D$2-4</f>
        <v>2018</v>
      </c>
      <c r="E61" s="22">
        <v>382808.6</v>
      </c>
      <c r="F61" s="9"/>
    </row>
    <row r="62" spans="1:8" x14ac:dyDescent="0.25">
      <c r="A62" s="82"/>
      <c r="B62" s="52"/>
      <c r="C62" s="12" t="s">
        <v>82</v>
      </c>
      <c r="D62" s="8">
        <f>$D$2-3</f>
        <v>2019</v>
      </c>
      <c r="E62" s="22">
        <v>619984.4</v>
      </c>
      <c r="F62" s="9"/>
    </row>
    <row r="63" spans="1:8" x14ac:dyDescent="0.25">
      <c r="A63" s="83" t="s">
        <v>78</v>
      </c>
      <c r="B63" s="2" t="s">
        <v>61</v>
      </c>
      <c r="C63" s="13" t="s">
        <v>60</v>
      </c>
      <c r="D63" s="5"/>
      <c r="E63" s="1">
        <f>IF((E67+0.25*E68+0.1*E69)/(E64+E65*0.25+E66*0.1)*100&gt;=15,1,IF((E67+0.25*E68+0.1*E69)/(E64+E65*0.25+E66*0.1)*100&lt;=1,0,((E67+0.25*E68+0.1*E69)/(E64+E65*0.25+E66*0.1)*100-1)/14))*F63</f>
        <v>2.0440733307183585</v>
      </c>
      <c r="F63" s="11">
        <f>IF(OR(Главная!AA17=D3,Главная!AA20=D3,Главная!AA18=D3),6,IF(OR(Главная!AA13=D3,Главная!AA14=D3,Главная!AA15=D3,Главная!AA16=D3,Главная!AA23=D3),5,10))</f>
        <v>5</v>
      </c>
      <c r="G63" s="7">
        <f t="shared" ref="G63:G93" si="8">E63/F63</f>
        <v>0.40881466614367168</v>
      </c>
    </row>
    <row r="64" spans="1:8"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4.8104819378335826</v>
      </c>
      <c r="F70" s="11">
        <f>IF(OR(Главная!AA17=D3,Главная!AA20=D3,Главная!AA18=D3),7,IF(OR(Главная!AA13=D3,Главная!AA14=D3,Главная!AA15=D3,Главная!AA16=D3,Главная!AA23=D3),5,10))</f>
        <v>5</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SUM(E7,E9,E12,E15,E18,E38,E42,E45,E49,E59,E63,E70,E28,E89:E93)*(IF(1+0.5*((E84+E85*0.25+E86*0.1)/(E19+E22*0.25+E25*0.1)-0.2)/0.8&lt;1,1,1+0.5*((E84+E85*0.25+E86*0.1)/(E19+E22*0.25+E25*0.1)-0.2)/0.8))</f>
        <v>66.553820387976245</v>
      </c>
      <c r="F83">
        <v>100</v>
      </c>
      <c r="G83" s="7">
        <f t="shared" si="8"/>
        <v>0.66553820387976248</v>
      </c>
    </row>
    <row r="84" spans="1:7" x14ac:dyDescent="0.25">
      <c r="A84" s="85"/>
      <c r="B84" s="54"/>
      <c r="C84" s="12" t="s">
        <v>72</v>
      </c>
      <c r="D84" s="4">
        <f t="shared" ref="D84:D86" si="10">$D$2-2</f>
        <v>2020</v>
      </c>
      <c r="E84" s="22">
        <v>5</v>
      </c>
      <c r="G84" s="7"/>
    </row>
    <row r="85" spans="1:7" x14ac:dyDescent="0.25">
      <c r="A85" s="85"/>
      <c r="B85" s="54"/>
      <c r="C85" s="12" t="s">
        <v>73</v>
      </c>
      <c r="D85" s="4">
        <f t="shared" si="10"/>
        <v>2020</v>
      </c>
      <c r="E85" s="22">
        <v>0</v>
      </c>
      <c r="G85" s="7"/>
    </row>
    <row r="86" spans="1:7" x14ac:dyDescent="0.25">
      <c r="A86" s="85"/>
      <c r="B86" s="54"/>
      <c r="C86" s="12" t="s">
        <v>74</v>
      </c>
      <c r="D86" s="4">
        <f t="shared" si="10"/>
        <v>2020</v>
      </c>
      <c r="E86" s="22">
        <v>0</v>
      </c>
      <c r="G86" s="7"/>
    </row>
    <row r="87" spans="1:7" x14ac:dyDescent="0.25">
      <c r="G87" s="7"/>
    </row>
    <row r="88" spans="1:7" x14ac:dyDescent="0.25">
      <c r="A88" s="9"/>
      <c r="B88" s="11" t="s">
        <v>96</v>
      </c>
      <c r="C88" s="86" t="s">
        <v>97</v>
      </c>
      <c r="D88" s="86"/>
      <c r="E88" s="86"/>
      <c r="F88" s="11"/>
      <c r="G88" s="7"/>
    </row>
    <row r="89" spans="1:7" x14ac:dyDescent="0.25">
      <c r="A89" s="9"/>
      <c r="B89" s="9"/>
      <c r="C89" s="64" t="s">
        <v>43</v>
      </c>
      <c r="D89" s="27" t="s">
        <v>231</v>
      </c>
      <c r="E89" s="24">
        <v>25</v>
      </c>
      <c r="F89" s="23">
        <v>25</v>
      </c>
      <c r="G89" s="7">
        <f t="shared" si="8"/>
        <v>1</v>
      </c>
    </row>
    <row r="90" spans="1:7" x14ac:dyDescent="0.25">
      <c r="A90" s="9"/>
      <c r="B90" s="9"/>
      <c r="C90" s="28"/>
      <c r="D90" s="27"/>
      <c r="E90" s="25"/>
      <c r="F90" s="23"/>
      <c r="G90" s="7" t="e">
        <f t="shared" si="8"/>
        <v>#DIV/0!</v>
      </c>
    </row>
    <row r="91" spans="1:7" x14ac:dyDescent="0.25">
      <c r="A91" s="9"/>
      <c r="B91" s="9"/>
      <c r="C91" s="28"/>
      <c r="D91" s="27"/>
      <c r="E91" s="25"/>
      <c r="F91" s="23"/>
      <c r="G91" s="7" t="e">
        <f t="shared" si="8"/>
        <v>#DIV/0!</v>
      </c>
    </row>
    <row r="92" spans="1:7" x14ac:dyDescent="0.25">
      <c r="A92" s="9"/>
      <c r="B92" s="9"/>
      <c r="C92" s="28"/>
      <c r="D92" s="27"/>
      <c r="E92" s="25"/>
      <c r="F92" s="23"/>
      <c r="G92" s="7" t="e">
        <f t="shared" si="8"/>
        <v>#DIV/0!</v>
      </c>
    </row>
    <row r="93" spans="1:7" x14ac:dyDescent="0.25">
      <c r="A93" s="9"/>
      <c r="B93" s="9"/>
      <c r="C93" s="28"/>
      <c r="D93" s="27"/>
      <c r="E93" s="25"/>
      <c r="F93" s="23"/>
      <c r="G93" s="7" t="e">
        <f t="shared" si="8"/>
        <v>#DIV/0!</v>
      </c>
    </row>
    <row r="94" spans="1:7" x14ac:dyDescent="0.25">
      <c r="A94" s="9"/>
      <c r="B94" s="9"/>
      <c r="C94" s="16"/>
      <c r="D94" s="17"/>
      <c r="E94" s="9"/>
      <c r="F94" s="9"/>
      <c r="G94" s="9"/>
    </row>
    <row r="95" spans="1:7" x14ac:dyDescent="0.25">
      <c r="B95" s="9"/>
      <c r="C95" s="16"/>
      <c r="D95" s="15"/>
      <c r="E95" s="9"/>
      <c r="F95" s="9"/>
      <c r="G95" s="9"/>
    </row>
    <row r="96" spans="1:7" x14ac:dyDescent="0.25">
      <c r="B96" s="9"/>
      <c r="C96" s="16"/>
      <c r="D96" s="15"/>
      <c r="E96" s="9"/>
      <c r="F96" s="9"/>
      <c r="G96" s="9"/>
    </row>
    <row r="97" spans="2:7" x14ac:dyDescent="0.25">
      <c r="B97" s="9"/>
      <c r="C97" s="16"/>
      <c r="D97" s="15"/>
      <c r="E97" s="9"/>
      <c r="F97" s="9"/>
      <c r="G97" s="9"/>
    </row>
  </sheetData>
  <mergeCells count="18">
    <mergeCell ref="A59:A62"/>
    <mergeCell ref="A63:A69"/>
    <mergeCell ref="A70:A82"/>
    <mergeCell ref="A83:A86"/>
    <mergeCell ref="C88:E88"/>
    <mergeCell ref="A7:A8"/>
    <mergeCell ref="A9:A11"/>
    <mergeCell ref="A12:A14"/>
    <mergeCell ref="A15:A17"/>
    <mergeCell ref="A18:A27"/>
    <mergeCell ref="A48:G48"/>
    <mergeCell ref="A49:A58"/>
    <mergeCell ref="B42:B44"/>
    <mergeCell ref="A28:A32"/>
    <mergeCell ref="A33:A37"/>
    <mergeCell ref="A38:A41"/>
    <mergeCell ref="A42:A44"/>
    <mergeCell ref="A45:A47"/>
  </mergeCells>
  <conditionalFormatting sqref="G1:G47 G49:G1048576">
    <cfRule type="iconSet" priority="8">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Главная!$AA$13:$AA$23</xm:f>
          </x14:formula1>
          <xm:sqref>D3</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9">
    <tabColor rgb="FF00B0F0"/>
  </sheetPr>
  <dimension ref="A1:H99"/>
  <sheetViews>
    <sheetView workbookViewId="0">
      <selection activeCell="A13" sqref="A1:C1048576"/>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204</v>
      </c>
    </row>
    <row r="4" spans="1:8" x14ac:dyDescent="0.25">
      <c r="A4" t="s">
        <v>81</v>
      </c>
      <c r="D4" s="12" t="s">
        <v>75</v>
      </c>
      <c r="E4" s="10">
        <f>F89</f>
        <v>70.898667634161939</v>
      </c>
      <c r="F4" t="s">
        <v>138</v>
      </c>
    </row>
    <row r="5" spans="1:8" x14ac:dyDescent="0.25">
      <c r="D5" s="12"/>
      <c r="E5" s="4"/>
    </row>
    <row r="6" spans="1:8" x14ac:dyDescent="0.25">
      <c r="A6" t="s">
        <v>7</v>
      </c>
      <c r="D6" s="12" t="s">
        <v>25</v>
      </c>
      <c r="E6" s="4" t="s">
        <v>21</v>
      </c>
      <c r="G6" t="s">
        <v>20</v>
      </c>
      <c r="H6" t="s">
        <v>42</v>
      </c>
    </row>
    <row r="7" spans="1:8" ht="30" customHeight="1" x14ac:dyDescent="0.25">
      <c r="A7" s="78" t="s">
        <v>104</v>
      </c>
      <c r="B7" s="50"/>
      <c r="C7" s="49" t="s">
        <v>98</v>
      </c>
      <c r="D7" s="13" t="s">
        <v>99</v>
      </c>
      <c r="E7" s="5"/>
      <c r="F7" s="1">
        <f>IF(F9/F8&gt;=0.5,1,IF(F9/F8&lt;=0.1,0,((F9/F8-0.1)/0.4)))*G7</f>
        <v>10</v>
      </c>
      <c r="G7" s="2">
        <v>10</v>
      </c>
      <c r="H7" s="7">
        <f>F7/G7</f>
        <v>1</v>
      </c>
    </row>
    <row r="8" spans="1:8" x14ac:dyDescent="0.25">
      <c r="A8" s="78"/>
      <c r="B8" s="50"/>
      <c r="C8" s="50"/>
      <c r="D8" s="12" t="s">
        <v>100</v>
      </c>
      <c r="E8" s="4">
        <f>$E$2-2</f>
        <v>2020</v>
      </c>
      <c r="F8" s="22">
        <v>86</v>
      </c>
      <c r="H8" s="7"/>
    </row>
    <row r="9" spans="1:8" x14ac:dyDescent="0.25">
      <c r="A9" s="78"/>
      <c r="B9" s="50"/>
      <c r="C9" s="49"/>
      <c r="D9" s="19" t="s">
        <v>101</v>
      </c>
      <c r="E9" s="4">
        <f>$E$2-2</f>
        <v>2020</v>
      </c>
      <c r="F9" s="39">
        <v>45</v>
      </c>
      <c r="G9" s="20"/>
      <c r="H9" s="7"/>
    </row>
    <row r="10" spans="1:8" ht="15" customHeight="1" x14ac:dyDescent="0.25">
      <c r="A10" s="82" t="s">
        <v>235</v>
      </c>
      <c r="B10" s="52"/>
      <c r="C10" s="51" t="s">
        <v>103</v>
      </c>
      <c r="D10" s="1" t="s">
        <v>102</v>
      </c>
      <c r="F10" s="1">
        <f>IFERROR(IF(F11/F12&lt;=1.5,0,IF(F11/F12&gt;=10,1,(F11/F12-1.5)/8.5))*G10,G10/3)</f>
        <v>1.4117647058823528</v>
      </c>
      <c r="G10" s="1">
        <v>5</v>
      </c>
      <c r="H10" s="7">
        <f t="shared" ref="H10:H76" si="0">F10/G10</f>
        <v>0.28235294117647058</v>
      </c>
    </row>
    <row r="11" spans="1:8" x14ac:dyDescent="0.25">
      <c r="A11" s="82"/>
      <c r="B11" s="52"/>
      <c r="C11" s="52"/>
      <c r="D11" t="s">
        <v>105</v>
      </c>
      <c r="E11" s="4">
        <f>$E$2-2</f>
        <v>2020</v>
      </c>
      <c r="F11" s="22">
        <v>78</v>
      </c>
      <c r="H11" s="7"/>
    </row>
    <row r="12" spans="1:8" x14ac:dyDescent="0.25">
      <c r="A12" s="82"/>
      <c r="B12" s="52"/>
      <c r="C12" s="52"/>
      <c r="D12" t="s">
        <v>109</v>
      </c>
      <c r="E12" s="4">
        <f>$E$2-2</f>
        <v>2020</v>
      </c>
      <c r="F12" s="22">
        <v>20</v>
      </c>
      <c r="H12" s="7"/>
    </row>
    <row r="13" spans="1:8" x14ac:dyDescent="0.25">
      <c r="A13" s="78" t="s">
        <v>111</v>
      </c>
      <c r="B13" s="50"/>
      <c r="C13" s="49" t="s">
        <v>107</v>
      </c>
      <c r="D13" s="1" t="s">
        <v>108</v>
      </c>
      <c r="E13" s="1"/>
      <c r="F13" s="1">
        <f>IFERROR(IF(F14/F12&lt;=0,0,IF(F14/F12&gt;=0.25,1,F14/F12/0.25))*G13,G13/3)</f>
        <v>1</v>
      </c>
      <c r="G13" s="1">
        <v>5</v>
      </c>
      <c r="H13" s="7">
        <f t="shared" si="0"/>
        <v>0.2</v>
      </c>
    </row>
    <row r="14" spans="1:8" x14ac:dyDescent="0.25">
      <c r="A14" s="78"/>
      <c r="B14" s="50"/>
      <c r="C14" s="50"/>
      <c r="D14" t="s">
        <v>110</v>
      </c>
      <c r="E14" s="4">
        <f>$E$2-2</f>
        <v>2020</v>
      </c>
      <c r="F14" s="22">
        <v>1</v>
      </c>
      <c r="H14" s="7"/>
    </row>
    <row r="15" spans="1:8" x14ac:dyDescent="0.25">
      <c r="A15" s="82" t="s">
        <v>115</v>
      </c>
      <c r="B15" s="66"/>
      <c r="C15" s="67" t="s">
        <v>112</v>
      </c>
      <c r="D15" s="1" t="s">
        <v>2</v>
      </c>
      <c r="E15" s="60"/>
      <c r="F15" s="11">
        <f>IFERROR(IF(F16/F17*100&lt;=80,0,IF(F16/F17*100&gt;=100,1,(F16/F17*100-80)/20))*G15,G15/3)</f>
        <v>5</v>
      </c>
      <c r="G15" s="1">
        <v>5</v>
      </c>
      <c r="H15" s="7">
        <f t="shared" si="0"/>
        <v>1</v>
      </c>
    </row>
    <row r="16" spans="1:8" x14ac:dyDescent="0.25">
      <c r="A16" s="82"/>
      <c r="B16" s="66"/>
      <c r="C16" s="66"/>
      <c r="D16" t="s">
        <v>113</v>
      </c>
      <c r="E16" s="4" t="str">
        <f>$E$2-2&amp;" "&amp;$E$2-3&amp;" "&amp;$E$2-4</f>
        <v>2020 2019 2018</v>
      </c>
      <c r="F16" s="22">
        <v>43</v>
      </c>
      <c r="H16" s="7"/>
    </row>
    <row r="17" spans="1:8" x14ac:dyDescent="0.25">
      <c r="A17" s="82"/>
      <c r="B17" s="66"/>
      <c r="C17" s="66"/>
      <c r="D17" t="s">
        <v>114</v>
      </c>
      <c r="E17" s="4" t="str">
        <f>$E$2-2&amp;" "&amp;$E$2-3&amp;" "&amp;$E$2-4</f>
        <v>2020 2019 2018</v>
      </c>
      <c r="F17" s="22">
        <v>43</v>
      </c>
      <c r="H17" s="7"/>
    </row>
    <row r="18" spans="1:8" x14ac:dyDescent="0.25">
      <c r="A18" s="78" t="s">
        <v>17</v>
      </c>
      <c r="B18" s="50"/>
      <c r="C18" s="49" t="s">
        <v>116</v>
      </c>
      <c r="D18" s="13" t="s">
        <v>14</v>
      </c>
      <c r="E18" s="5"/>
      <c r="F18" s="1">
        <f>IFERROR(IF(F19/F20&gt;=1,1,IF(F19/F20&lt;=0,0,(F19/F20)))*G18,G18/3)</f>
        <v>0</v>
      </c>
      <c r="G18" s="1">
        <v>2</v>
      </c>
      <c r="H18" s="7">
        <f t="shared" si="0"/>
        <v>0</v>
      </c>
    </row>
    <row r="19" spans="1:8" x14ac:dyDescent="0.25">
      <c r="A19" s="78"/>
      <c r="B19" s="50"/>
      <c r="C19" s="50"/>
      <c r="D19" s="12" t="s">
        <v>15</v>
      </c>
      <c r="E19" s="4">
        <f>$E$2-2</f>
        <v>2020</v>
      </c>
      <c r="F19" s="22">
        <v>0</v>
      </c>
      <c r="H19" s="7"/>
    </row>
    <row r="20" spans="1:8" x14ac:dyDescent="0.25">
      <c r="A20" s="78"/>
      <c r="B20" s="50"/>
      <c r="C20" s="50"/>
      <c r="D20" s="12" t="s">
        <v>16</v>
      </c>
      <c r="E20" s="4">
        <f>$E$2-2</f>
        <v>2020</v>
      </c>
      <c r="F20" s="22">
        <v>1</v>
      </c>
      <c r="H20" s="7"/>
    </row>
    <row r="21" spans="1:8" x14ac:dyDescent="0.25">
      <c r="A21" s="84" t="s">
        <v>119</v>
      </c>
      <c r="B21" s="52"/>
      <c r="C21" s="51" t="s">
        <v>118</v>
      </c>
      <c r="D21" s="13" t="s">
        <v>117</v>
      </c>
      <c r="E21" s="1"/>
      <c r="F21" s="1">
        <f>IFERROR(IF((F25+0.25*F26+0.1*F27)/(F22+0.25*F23+0.1*F24)&gt;=0.25,1,IF((F25+0.25*F26+0.1*F27)/(F22+0.25*F23+0.1*F24)&lt;=0,0,(F25+0.25*F26+0.1*F27)/(F22+0.25*F23+0.1*F24)/0.25))*G21,G21/3)</f>
        <v>5.2285714285714278</v>
      </c>
      <c r="G21" s="1">
        <f>IF(OR(Главная!AE14=E3,Главная!AE15=E3,Главная!AE16=E3,Главная!AE17=E3,Главная!AE22=E3),6,9)</f>
        <v>6</v>
      </c>
      <c r="H21" s="7">
        <f t="shared" si="0"/>
        <v>0.87142857142857133</v>
      </c>
    </row>
    <row r="22" spans="1:8" x14ac:dyDescent="0.25">
      <c r="A22" s="84"/>
      <c r="B22" s="52"/>
      <c r="C22" s="52"/>
      <c r="D22" s="12" t="s">
        <v>27</v>
      </c>
      <c r="E22" s="4">
        <f t="shared" ref="E22:E41" si="1">$E$2-2</f>
        <v>2020</v>
      </c>
      <c r="F22" s="22">
        <v>28</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6</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1</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6</v>
      </c>
      <c r="G28" s="1">
        <f>IF(OR(Главная!AE14=E3,Главная!AE15=E3,Главная!AE16=E3,Главная!AE17=E3,Главная!AE22=E3),6,0)</f>
        <v>6</v>
      </c>
      <c r="H28" s="7">
        <f t="shared" si="0"/>
        <v>1</v>
      </c>
    </row>
    <row r="29" spans="1:8" x14ac:dyDescent="0.25">
      <c r="A29" s="78"/>
      <c r="B29" s="50"/>
      <c r="C29" s="50"/>
      <c r="D29" s="12" t="s">
        <v>86</v>
      </c>
      <c r="E29" s="14">
        <f>$E$2-3</f>
        <v>2019</v>
      </c>
      <c r="F29" s="22">
        <v>0</v>
      </c>
      <c r="H29" s="7"/>
    </row>
    <row r="30" spans="1:8" x14ac:dyDescent="0.25">
      <c r="A30" s="78"/>
      <c r="B30" s="50"/>
      <c r="C30" s="50"/>
      <c r="D30" s="12" t="s">
        <v>87</v>
      </c>
      <c r="E30" s="14">
        <f t="shared" ref="E30:E34" si="2">$E$2-3</f>
        <v>2019</v>
      </c>
      <c r="F30" s="22">
        <v>102</v>
      </c>
      <c r="H30" s="7"/>
    </row>
    <row r="31" spans="1:8" x14ac:dyDescent="0.25">
      <c r="A31" s="78"/>
      <c r="B31" s="50"/>
      <c r="C31" s="50"/>
      <c r="D31" s="12" t="s">
        <v>88</v>
      </c>
      <c r="E31" s="14">
        <f t="shared" si="2"/>
        <v>2019</v>
      </c>
      <c r="F31" s="22">
        <v>0</v>
      </c>
      <c r="H31" s="7"/>
    </row>
    <row r="32" spans="1:8" x14ac:dyDescent="0.25">
      <c r="A32" s="78"/>
      <c r="B32" s="50"/>
      <c r="C32" s="50"/>
      <c r="D32" s="12" t="s">
        <v>89</v>
      </c>
      <c r="E32" s="14">
        <f t="shared" si="2"/>
        <v>2019</v>
      </c>
      <c r="F32" s="22">
        <v>0</v>
      </c>
      <c r="H32" s="7"/>
    </row>
    <row r="33" spans="1:8" x14ac:dyDescent="0.25">
      <c r="A33" s="78" t="s">
        <v>142</v>
      </c>
      <c r="B33" s="50"/>
      <c r="C33" s="50"/>
      <c r="D33" s="12" t="s">
        <v>90</v>
      </c>
      <c r="E33" s="14">
        <f t="shared" si="2"/>
        <v>2019</v>
      </c>
      <c r="F33" s="22">
        <v>46</v>
      </c>
      <c r="H33" s="7"/>
    </row>
    <row r="34" spans="1:8" x14ac:dyDescent="0.25">
      <c r="A34" s="78"/>
      <c r="B34" s="50"/>
      <c r="C34" s="50"/>
      <c r="D34" s="12" t="s">
        <v>91</v>
      </c>
      <c r="E34" s="14">
        <f t="shared" si="2"/>
        <v>2019</v>
      </c>
      <c r="F34" s="22">
        <v>0</v>
      </c>
      <c r="H34" s="7"/>
    </row>
    <row r="35" spans="1:8" x14ac:dyDescent="0.25">
      <c r="A35" s="78"/>
      <c r="B35" s="50"/>
      <c r="C35" s="50"/>
      <c r="D35" s="12" t="s">
        <v>92</v>
      </c>
      <c r="E35" s="4">
        <f t="shared" ref="E35:E37" si="3">$E$2-2</f>
        <v>2020</v>
      </c>
      <c r="F35" s="22"/>
      <c r="H35" s="7"/>
    </row>
    <row r="36" spans="1:8" x14ac:dyDescent="0.25">
      <c r="A36" s="78"/>
      <c r="B36" s="50"/>
      <c r="C36" s="50"/>
      <c r="D36" s="12" t="s">
        <v>93</v>
      </c>
      <c r="E36" s="4">
        <f t="shared" si="3"/>
        <v>2020</v>
      </c>
      <c r="F36" s="22"/>
      <c r="H36" s="7"/>
    </row>
    <row r="37" spans="1:8" x14ac:dyDescent="0.25">
      <c r="A37" s="78"/>
      <c r="B37" s="50"/>
      <c r="C37" s="50"/>
      <c r="D37" s="12" t="s">
        <v>94</v>
      </c>
      <c r="E37" s="4">
        <f t="shared" si="3"/>
        <v>2020</v>
      </c>
      <c r="F37" s="22"/>
      <c r="H37" s="7"/>
    </row>
    <row r="38" spans="1:8" x14ac:dyDescent="0.25">
      <c r="A38" s="82" t="s">
        <v>123</v>
      </c>
      <c r="B38" s="51"/>
      <c r="C38" s="51" t="s">
        <v>120</v>
      </c>
      <c r="D38" s="13" t="s">
        <v>37</v>
      </c>
      <c r="E38" s="5"/>
      <c r="F38" s="1">
        <f>IFERROR(IF((F39+0.25*F40+0.1*F41)/(F22+0.25*F23+0.1*F24)&gt;=0.5,1,IF((F39+0.25*F40+0.1*F41)/(F22+0.25*F23+0.1*F24)&lt;=0,0,(F39+0.25*F40+0.1*F41)/(F22+0.25*F23+0.1*F24)/0.5))*G38,G38/3)</f>
        <v>0.42857142857142855</v>
      </c>
      <c r="G38" s="1">
        <f>IF(OR(Главная!AE14=E3,Главная!AE15=E3,Главная!AE16=E3,Главная!AE17=E3,Главная!AE22=E3),6,9)</f>
        <v>6</v>
      </c>
      <c r="H38" s="7">
        <f t="shared" si="0"/>
        <v>7.1428571428571425E-2</v>
      </c>
    </row>
    <row r="39" spans="1:8" x14ac:dyDescent="0.25">
      <c r="A39" s="82"/>
      <c r="B39" s="52"/>
      <c r="C39" s="52"/>
      <c r="D39" s="12" t="s">
        <v>121</v>
      </c>
      <c r="E39" s="4">
        <f t="shared" si="1"/>
        <v>2020</v>
      </c>
      <c r="F39" s="22">
        <v>1</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5</v>
      </c>
      <c r="G52" s="1">
        <v>5</v>
      </c>
      <c r="H52" s="7">
        <f t="shared" si="0"/>
        <v>1</v>
      </c>
    </row>
    <row r="53" spans="1:8" x14ac:dyDescent="0.25">
      <c r="A53" s="84"/>
      <c r="B53" s="52"/>
      <c r="C53" s="52"/>
      <c r="D53" s="12" t="s">
        <v>131</v>
      </c>
      <c r="E53" s="8" t="str">
        <f>"на 01.10."&amp;$E$2-3</f>
        <v>на 01.10.2019</v>
      </c>
      <c r="F53" s="22">
        <v>11</v>
      </c>
      <c r="H53" s="7"/>
    </row>
    <row r="54" spans="1:8" x14ac:dyDescent="0.25">
      <c r="A54" s="84"/>
      <c r="B54" s="52"/>
      <c r="C54" s="52"/>
      <c r="D54" s="12" t="s">
        <v>132</v>
      </c>
      <c r="E54" s="4" t="str">
        <f>"на 01.10."&amp;$E$2-2</f>
        <v>на 01.10.2020</v>
      </c>
      <c r="F54" s="22">
        <v>10</v>
      </c>
      <c r="H54" s="7"/>
    </row>
    <row r="55" spans="1:8" ht="15" customHeight="1" x14ac:dyDescent="0.25">
      <c r="A55" s="88" t="s">
        <v>59</v>
      </c>
      <c r="B55" s="91" t="s">
        <v>140</v>
      </c>
      <c r="C55" s="11" t="s">
        <v>134</v>
      </c>
      <c r="D55" s="13" t="s">
        <v>53</v>
      </c>
      <c r="E55" s="5"/>
      <c r="F55" s="1">
        <f>IFERROR(IF((F62/(F56+F59)+F63/(F57+F60)+F64/(F58+F61))/3*100&lt;=5,0,IF((F62/(F56+F59)+F63/(F57+F60)+F64/(F58+F61))/3*100&gt;=100,1,((F62/(F56+F59)+F63/(F57+F60)+F64/(F58+F61))/3*100-5)/95))*G55,"")</f>
        <v>0</v>
      </c>
      <c r="G55" s="1">
        <f>IF(OR(Главная!AE13=E3,Главная!AE14=E3,Главная!AE15=E3,Главная!AE21=E3,Главная!AE22=E3),8,0)</f>
        <v>0</v>
      </c>
      <c r="H55" s="7" t="e">
        <f t="shared" si="0"/>
        <v>#DIV/0!</v>
      </c>
    </row>
    <row r="56" spans="1:8" x14ac:dyDescent="0.25">
      <c r="A56" s="88"/>
      <c r="B56" s="92"/>
      <c r="C56" s="9"/>
      <c r="D56" s="12" t="s">
        <v>54</v>
      </c>
      <c r="E56" s="8">
        <f>$E$2-5</f>
        <v>2017</v>
      </c>
      <c r="F56" s="38">
        <v>1051.2</v>
      </c>
      <c r="H56" s="7"/>
    </row>
    <row r="57" spans="1:8" x14ac:dyDescent="0.25">
      <c r="A57" s="88"/>
      <c r="B57" s="92"/>
      <c r="C57" s="9"/>
      <c r="D57" s="12" t="s">
        <v>54</v>
      </c>
      <c r="E57" s="8">
        <f>$E$2-4</f>
        <v>2018</v>
      </c>
      <c r="F57" s="38">
        <v>1047.5</v>
      </c>
      <c r="H57" s="7"/>
    </row>
    <row r="58" spans="1:8" x14ac:dyDescent="0.25">
      <c r="A58" s="88"/>
      <c r="B58" s="92"/>
      <c r="C58" s="9"/>
      <c r="D58" s="12" t="s">
        <v>54</v>
      </c>
      <c r="E58" s="8">
        <f>$E$2-3</f>
        <v>2019</v>
      </c>
      <c r="F58" s="38">
        <v>1059.5</v>
      </c>
      <c r="H58" s="7"/>
    </row>
    <row r="59" spans="1:8" x14ac:dyDescent="0.25">
      <c r="A59" s="88"/>
      <c r="B59" s="92"/>
      <c r="C59" s="9"/>
      <c r="D59" s="12" t="s">
        <v>55</v>
      </c>
      <c r="E59" s="8">
        <f>$E$2-5</f>
        <v>2017</v>
      </c>
      <c r="F59" s="38">
        <v>56.2</v>
      </c>
      <c r="H59" s="7"/>
    </row>
    <row r="60" spans="1:8" x14ac:dyDescent="0.25">
      <c r="A60" s="88"/>
      <c r="B60" s="92"/>
      <c r="C60" s="9"/>
      <c r="D60" s="12" t="s">
        <v>55</v>
      </c>
      <c r="E60" s="8">
        <f>$E$2-4</f>
        <v>2018</v>
      </c>
      <c r="F60" s="38">
        <v>54.6</v>
      </c>
      <c r="H60" s="7"/>
    </row>
    <row r="61" spans="1:8" x14ac:dyDescent="0.25">
      <c r="A61" s="88"/>
      <c r="B61" s="92"/>
      <c r="C61" s="9"/>
      <c r="D61" s="12" t="s">
        <v>55</v>
      </c>
      <c r="E61" s="8">
        <f>$E$2-3</f>
        <v>2019</v>
      </c>
      <c r="F61" s="38">
        <v>56.5</v>
      </c>
      <c r="H61" s="7"/>
    </row>
    <row r="62" spans="1:8" x14ac:dyDescent="0.25">
      <c r="A62" s="88"/>
      <c r="B62" s="92"/>
      <c r="C62" s="9"/>
      <c r="D62" s="12" t="s">
        <v>56</v>
      </c>
      <c r="E62" s="8">
        <f>$E$2-5</f>
        <v>2017</v>
      </c>
      <c r="F62" s="38">
        <v>380</v>
      </c>
      <c r="H62" s="7"/>
    </row>
    <row r="63" spans="1:8" x14ac:dyDescent="0.25">
      <c r="A63" s="88"/>
      <c r="B63" s="92"/>
      <c r="C63" s="9"/>
      <c r="D63" s="12" t="s">
        <v>56</v>
      </c>
      <c r="E63" s="8">
        <f>$E$2-4</f>
        <v>2018</v>
      </c>
      <c r="F63" s="38">
        <v>830</v>
      </c>
      <c r="H63" s="7"/>
    </row>
    <row r="64" spans="1:8" x14ac:dyDescent="0.25">
      <c r="A64" s="88"/>
      <c r="B64" s="92"/>
      <c r="C64" s="9"/>
      <c r="D64" s="12" t="s">
        <v>56</v>
      </c>
      <c r="E64" s="8">
        <f>$E$2-3</f>
        <v>2019</v>
      </c>
      <c r="F64" s="38">
        <v>1149</v>
      </c>
      <c r="H64" s="7"/>
    </row>
    <row r="65" spans="1:8" x14ac:dyDescent="0.25">
      <c r="A65" s="87" t="s">
        <v>79</v>
      </c>
      <c r="B65" s="92"/>
      <c r="C65" s="11" t="s">
        <v>135</v>
      </c>
      <c r="D65" s="35" t="s">
        <v>57</v>
      </c>
      <c r="E65" s="36"/>
      <c r="F65" s="1">
        <f>IFERROR(IF((F66/(F56+F59)+F67/(F57+F60)+F68/(F58+F61))/3&lt;=100,0,IF((F66/(F56+F59)+F67/(F57+F60)+F68/(F58+F61))/3&gt;=1000,1,((F66/(F56+F59)+F67/(F57+F60)+F68/(F58+F61))/3-100)/900))*G65," ")</f>
        <v>3.1206495340328533</v>
      </c>
      <c r="G65" s="1">
        <f>IF(OR(Главная!AE16=E3,Главная!AE17=E3,Главная!AE19=E3),10,IF(OR(Главная!AE13=E3,Главная!AE14=E3,Главная!AE15=E3,Главная!AE21=E3,Главная!AE22=E3),8,0))</f>
        <v>10</v>
      </c>
      <c r="H65" s="7">
        <f t="shared" si="0"/>
        <v>0.31206495340328533</v>
      </c>
    </row>
    <row r="66" spans="1:8" x14ac:dyDescent="0.25">
      <c r="A66" s="87"/>
      <c r="B66" s="92"/>
      <c r="C66" s="9"/>
      <c r="D66" s="37" t="s">
        <v>161</v>
      </c>
      <c r="E66" s="8">
        <v>2017</v>
      </c>
      <c r="F66" s="38">
        <v>265431.7</v>
      </c>
      <c r="H66" s="7"/>
    </row>
    <row r="67" spans="1:8" x14ac:dyDescent="0.25">
      <c r="A67" s="87"/>
      <c r="B67" s="92"/>
      <c r="C67" s="9"/>
      <c r="D67" s="37" t="s">
        <v>161</v>
      </c>
      <c r="E67" s="8">
        <v>2018</v>
      </c>
      <c r="F67" s="38">
        <v>382808.6</v>
      </c>
      <c r="H67" s="7"/>
    </row>
    <row r="68" spans="1:8"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4.088146661436717</v>
      </c>
      <c r="G69" s="1">
        <f>IF(OR(Главная!AE16=E3,Главная!AE17=E3,Главная!AE19=E3),10,IF(OR(Главная!AE13=E3,Главная!AE14=E3,Главная!AE15=E3,Главная!AE21=E3,Главная!AE22=E3),7,15))</f>
        <v>10</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9.6209638756671652</v>
      </c>
      <c r="G76" s="1">
        <f>IF(OR(Главная!AE16=E3,Главная!AE17=E3,Главная!AE19=E3),10,IF(OR(Главная!AE13=E3,Главная!AE14=E3,Главная!AE15=E3,Главная!AE21=E3,Главная!AE22=E3),7,15))</f>
        <v>10</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70.898667634161939</v>
      </c>
      <c r="G89" s="1">
        <v>100</v>
      </c>
      <c r="H89" s="7">
        <f t="shared" ref="H89" si="5">F89/G89</f>
        <v>0.70898667634161938</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row r="94" spans="1:8" x14ac:dyDescent="0.25">
      <c r="C94" s="11" t="s">
        <v>96</v>
      </c>
      <c r="D94" s="86" t="s">
        <v>97</v>
      </c>
      <c r="E94" s="86"/>
      <c r="F94" s="86"/>
      <c r="G94" s="11"/>
      <c r="H94" s="7"/>
    </row>
    <row r="95" spans="1:8" x14ac:dyDescent="0.25">
      <c r="C95" s="9"/>
      <c r="D95" s="26" t="s">
        <v>124</v>
      </c>
      <c r="E95" s="65" t="s">
        <v>230</v>
      </c>
      <c r="F95" s="24">
        <f>20/3*2</f>
        <v>13.333333333333334</v>
      </c>
      <c r="G95" s="23"/>
      <c r="H95" s="7" t="e">
        <f t="shared" ref="H95:H99" si="7">F95/G95</f>
        <v>#DIV/0!</v>
      </c>
    </row>
    <row r="96" spans="1:8" x14ac:dyDescent="0.25">
      <c r="C96" s="9"/>
      <c r="D96" s="28"/>
      <c r="E96" s="27"/>
      <c r="F96" s="25"/>
      <c r="G96" s="23"/>
      <c r="H96" s="7" t="e">
        <f t="shared" si="7"/>
        <v>#DIV/0!</v>
      </c>
    </row>
    <row r="97" spans="3:8" x14ac:dyDescent="0.25">
      <c r="C97" s="9"/>
      <c r="D97" s="28"/>
      <c r="E97" s="27"/>
      <c r="F97" s="25"/>
      <c r="G97" s="23"/>
      <c r="H97" s="7" t="e">
        <f t="shared" si="7"/>
        <v>#DIV/0!</v>
      </c>
    </row>
    <row r="98" spans="3:8" x14ac:dyDescent="0.25">
      <c r="C98" s="9"/>
      <c r="D98" s="28"/>
      <c r="E98" s="27"/>
      <c r="F98" s="25"/>
      <c r="G98" s="23"/>
      <c r="H98" s="7" t="e">
        <f t="shared" si="7"/>
        <v>#DIV/0!</v>
      </c>
    </row>
    <row r="99" spans="3:8" x14ac:dyDescent="0.25">
      <c r="C99" s="9"/>
      <c r="D99" s="28"/>
      <c r="E99" s="27"/>
      <c r="F99" s="25"/>
      <c r="G99" s="23"/>
      <c r="H99" s="7" t="e">
        <f t="shared" si="7"/>
        <v>#DIV/0!</v>
      </c>
    </row>
  </sheetData>
  <mergeCells count="18">
    <mergeCell ref="A65:A68"/>
    <mergeCell ref="A69:A75"/>
    <mergeCell ref="A7:A9"/>
    <mergeCell ref="A10:A12"/>
    <mergeCell ref="A13:A14"/>
    <mergeCell ref="B55:B88"/>
    <mergeCell ref="D94:F94"/>
    <mergeCell ref="A15:A17"/>
    <mergeCell ref="A18:A20"/>
    <mergeCell ref="A21:A27"/>
    <mergeCell ref="A28:A32"/>
    <mergeCell ref="A33:A37"/>
    <mergeCell ref="A76:A88"/>
    <mergeCell ref="A89:A92"/>
    <mergeCell ref="A38:A41"/>
    <mergeCell ref="A42:A51"/>
    <mergeCell ref="A52:A54"/>
    <mergeCell ref="A55:A64"/>
  </mergeCells>
  <conditionalFormatting sqref="H1:H2 H4:H28 H38:H76">
    <cfRule type="iconSet" priority="8">
      <iconSet>
        <cfvo type="percent" val="0"/>
        <cfvo type="percent" val="33"/>
        <cfvo type="percent" val="67"/>
      </iconSet>
    </cfRule>
  </conditionalFormatting>
  <conditionalFormatting sqref="H89:H92">
    <cfRule type="iconSet" priority="7">
      <iconSet>
        <cfvo type="percent" val="0"/>
        <cfvo type="percent" val="33"/>
        <cfvo type="percent" val="67"/>
      </iconSet>
    </cfRule>
  </conditionalFormatting>
  <conditionalFormatting sqref="H94:H99">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conditionalFormatting sqref="F7">
    <cfRule type="expression" dxfId="7" priority="3">
      <formula>$F$7*3=$G$7</formula>
    </cfRule>
  </conditionalFormatting>
  <conditionalFormatting sqref="F1:F28 F38:F1048576">
    <cfRule type="expression" priority="1">
      <formula>$F:$F*3=$G:$G</formula>
    </cfRule>
    <cfRule type="expression" priority="2">
      <formula>$F$7*3=$G$7</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Главная!$AE$13:$AE$22</xm:f>
          </x14:formula1>
          <xm:sqref>E3</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0">
    <tabColor rgb="FF00B0F0"/>
  </sheetPr>
  <dimension ref="A1:H99"/>
  <sheetViews>
    <sheetView topLeftCell="A70" workbookViewId="0">
      <selection activeCell="A70" sqref="A1:C1048576"/>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205</v>
      </c>
    </row>
    <row r="4" spans="1:8" x14ac:dyDescent="0.25">
      <c r="A4" t="s">
        <v>81</v>
      </c>
      <c r="D4" s="12" t="s">
        <v>75</v>
      </c>
      <c r="E4" s="10">
        <f>F89</f>
        <v>79.321221881643737</v>
      </c>
      <c r="F4" t="s">
        <v>138</v>
      </c>
    </row>
    <row r="5" spans="1:8" x14ac:dyDescent="0.25">
      <c r="D5" s="12"/>
      <c r="E5" s="4"/>
    </row>
    <row r="6" spans="1:8" x14ac:dyDescent="0.25">
      <c r="A6" t="s">
        <v>7</v>
      </c>
      <c r="D6" s="12" t="s">
        <v>25</v>
      </c>
      <c r="E6" s="4" t="s">
        <v>21</v>
      </c>
      <c r="G6" t="s">
        <v>20</v>
      </c>
      <c r="H6" t="s">
        <v>42</v>
      </c>
    </row>
    <row r="7" spans="1:8" ht="30" customHeight="1" x14ac:dyDescent="0.25">
      <c r="A7" s="78" t="s">
        <v>104</v>
      </c>
      <c r="B7" s="50"/>
      <c r="C7" s="49" t="s">
        <v>98</v>
      </c>
      <c r="D7" s="13" t="s">
        <v>99</v>
      </c>
      <c r="E7" s="5"/>
      <c r="F7" s="1">
        <f>IF(F9/F8&gt;=0.5,1,IF(F9/F8&lt;=0.1,0,((F9/F8-0.1)/0.4)))*G7</f>
        <v>10</v>
      </c>
      <c r="G7" s="2">
        <v>10</v>
      </c>
      <c r="H7" s="7">
        <f>F7/G7</f>
        <v>1</v>
      </c>
    </row>
    <row r="8" spans="1:8" x14ac:dyDescent="0.25">
      <c r="A8" s="78"/>
      <c r="B8" s="50"/>
      <c r="C8" s="50"/>
      <c r="D8" s="12" t="s">
        <v>100</v>
      </c>
      <c r="E8" s="4">
        <f>$E$2-2</f>
        <v>2020</v>
      </c>
      <c r="F8" s="22">
        <v>1796</v>
      </c>
      <c r="H8" s="7"/>
    </row>
    <row r="9" spans="1:8" x14ac:dyDescent="0.25">
      <c r="A9" s="78"/>
      <c r="B9" s="50"/>
      <c r="C9" s="49"/>
      <c r="D9" s="19" t="s">
        <v>101</v>
      </c>
      <c r="E9" s="4">
        <f>$E$2-2</f>
        <v>2020</v>
      </c>
      <c r="F9" s="39">
        <v>1362</v>
      </c>
      <c r="G9" s="20"/>
      <c r="H9" s="7"/>
    </row>
    <row r="10" spans="1:8" ht="15" customHeight="1" x14ac:dyDescent="0.25">
      <c r="A10" s="82" t="s">
        <v>235</v>
      </c>
      <c r="B10" s="52"/>
      <c r="C10" s="51" t="s">
        <v>103</v>
      </c>
      <c r="D10" s="1" t="s">
        <v>102</v>
      </c>
      <c r="F10" s="1">
        <f>IFERROR(IF(F11/F12&lt;=1.5,0,IF(F11/F12&gt;=10,1,(F11/F12-1.5)/8.5))*G10,G10/3)</f>
        <v>3.4389140271493215</v>
      </c>
      <c r="G10" s="1">
        <v>5</v>
      </c>
      <c r="H10" s="7">
        <f t="shared" ref="H10:H76" si="0">F10/G10</f>
        <v>0.68778280542986425</v>
      </c>
    </row>
    <row r="11" spans="1:8" x14ac:dyDescent="0.25">
      <c r="A11" s="82"/>
      <c r="B11" s="52"/>
      <c r="C11" s="52"/>
      <c r="D11" t="s">
        <v>105</v>
      </c>
      <c r="E11" s="4">
        <f>$E$2-2</f>
        <v>2020</v>
      </c>
      <c r="F11" s="22">
        <v>573</v>
      </c>
      <c r="H11" s="7"/>
    </row>
    <row r="12" spans="1:8" x14ac:dyDescent="0.25">
      <c r="A12" s="82"/>
      <c r="B12" s="52"/>
      <c r="C12" s="52"/>
      <c r="D12" t="s">
        <v>109</v>
      </c>
      <c r="E12" s="4">
        <f>$E$2-2</f>
        <v>2020</v>
      </c>
      <c r="F12" s="22">
        <v>78</v>
      </c>
      <c r="H12" s="7"/>
    </row>
    <row r="13" spans="1:8" x14ac:dyDescent="0.25">
      <c r="A13" s="78" t="s">
        <v>111</v>
      </c>
      <c r="B13" s="50"/>
      <c r="C13" s="49" t="s">
        <v>107</v>
      </c>
      <c r="D13" s="1" t="s">
        <v>108</v>
      </c>
      <c r="E13" s="1"/>
      <c r="F13" s="1">
        <f>IFERROR(IF(F14/F12&lt;=0,0,IF(F14/F12&gt;=0.25,1,F14/F12/0.25))*G13,G13/3)</f>
        <v>5</v>
      </c>
      <c r="G13" s="1">
        <v>5</v>
      </c>
      <c r="H13" s="7">
        <f t="shared" si="0"/>
        <v>1</v>
      </c>
    </row>
    <row r="14" spans="1:8" x14ac:dyDescent="0.25">
      <c r="A14" s="78"/>
      <c r="B14" s="50"/>
      <c r="C14" s="50"/>
      <c r="D14" t="s">
        <v>110</v>
      </c>
      <c r="E14" s="4">
        <f>$E$2-2</f>
        <v>2020</v>
      </c>
      <c r="F14" s="22">
        <v>23</v>
      </c>
      <c r="H14" s="7"/>
    </row>
    <row r="15" spans="1:8" x14ac:dyDescent="0.25">
      <c r="A15" s="82" t="s">
        <v>115</v>
      </c>
      <c r="B15" s="66"/>
      <c r="C15" s="67" t="s">
        <v>112</v>
      </c>
      <c r="D15" s="1" t="s">
        <v>2</v>
      </c>
      <c r="E15" s="60"/>
      <c r="F15" s="11">
        <f>IFERROR(IF(F16/F17*100&lt;=80,0,IF(F16/F17*100&gt;=100,1,(F16/F17*100-80)/20))*G15,G15/3)</f>
        <v>5</v>
      </c>
      <c r="G15" s="1">
        <v>5</v>
      </c>
      <c r="H15" s="7">
        <f t="shared" si="0"/>
        <v>1</v>
      </c>
    </row>
    <row r="16" spans="1:8" x14ac:dyDescent="0.25">
      <c r="A16" s="82"/>
      <c r="B16" s="66"/>
      <c r="C16" s="66"/>
      <c r="D16" t="s">
        <v>113</v>
      </c>
      <c r="E16" s="4" t="str">
        <f>$E$2-2&amp;" "&amp;$E$2-3&amp;" "&amp;$E$2-4</f>
        <v>2020 2019 2018</v>
      </c>
      <c r="F16" s="22">
        <v>195</v>
      </c>
      <c r="H16" s="7"/>
    </row>
    <row r="17" spans="1:8" x14ac:dyDescent="0.25">
      <c r="A17" s="82"/>
      <c r="B17" s="66"/>
      <c r="C17" s="66"/>
      <c r="D17" t="s">
        <v>114</v>
      </c>
      <c r="E17" s="4" t="str">
        <f>$E$2-2&amp;" "&amp;$E$2-3&amp;" "&amp;$E$2-4</f>
        <v>2020 2019 2018</v>
      </c>
      <c r="F17" s="22">
        <v>195</v>
      </c>
      <c r="H17" s="7"/>
    </row>
    <row r="18" spans="1:8" x14ac:dyDescent="0.25">
      <c r="A18" s="78" t="s">
        <v>17</v>
      </c>
      <c r="B18" s="50"/>
      <c r="C18" s="49" t="s">
        <v>116</v>
      </c>
      <c r="D18" s="13" t="s">
        <v>14</v>
      </c>
      <c r="E18" s="5"/>
      <c r="F18" s="1">
        <f>IFERROR(IF(F19/F20&gt;=1,1,IF(F19/F20&lt;=0,0,(F19/F20)))*G18,G18/3)</f>
        <v>0</v>
      </c>
      <c r="G18" s="1">
        <v>2</v>
      </c>
      <c r="H18" s="7">
        <f t="shared" si="0"/>
        <v>0</v>
      </c>
    </row>
    <row r="19" spans="1:8" x14ac:dyDescent="0.25">
      <c r="A19" s="78"/>
      <c r="B19" s="50"/>
      <c r="C19" s="50"/>
      <c r="D19" s="12" t="s">
        <v>15</v>
      </c>
      <c r="E19" s="4">
        <f>$E$2-2</f>
        <v>2020</v>
      </c>
      <c r="F19" s="22">
        <v>0</v>
      </c>
      <c r="H19" s="7"/>
    </row>
    <row r="20" spans="1:8" x14ac:dyDescent="0.25">
      <c r="A20" s="78"/>
      <c r="B20" s="50"/>
      <c r="C20" s="50"/>
      <c r="D20" s="12" t="s">
        <v>16</v>
      </c>
      <c r="E20" s="4">
        <f>$E$2-2</f>
        <v>2020</v>
      </c>
      <c r="F20" s="22">
        <v>1</v>
      </c>
      <c r="H20" s="7"/>
    </row>
    <row r="21" spans="1:8" x14ac:dyDescent="0.25">
      <c r="A21" s="84" t="s">
        <v>119</v>
      </c>
      <c r="B21" s="52"/>
      <c r="C21" s="51" t="s">
        <v>118</v>
      </c>
      <c r="D21" s="13" t="s">
        <v>117</v>
      </c>
      <c r="E21" s="1"/>
      <c r="F21" s="1">
        <f>IFERROR(IF((F25+0.25*F26+0.1*F27)/(F22+0.25*F23+0.1*F24)&gt;=0.25,1,IF((F25+0.25*F26+0.1*F27)/(F22+0.25*F23+0.1*F24)&lt;=0,0,(F25+0.25*F26+0.1*F27)/(F22+0.25*F23+0.1*F24)/0.25))*G21,G21/3)</f>
        <v>9</v>
      </c>
      <c r="G21" s="1">
        <f>IF(OR(Главная!AE14=E3,Главная!AE15=E3,Главная!AE16=E3,Главная!AE17=E3,Главная!AE22=E3),6,9)</f>
        <v>9</v>
      </c>
      <c r="H21" s="7">
        <f t="shared" si="0"/>
        <v>1</v>
      </c>
    </row>
    <row r="22" spans="1:8" x14ac:dyDescent="0.25">
      <c r="A22" s="84"/>
      <c r="B22" s="52"/>
      <c r="C22" s="52"/>
      <c r="D22" s="12" t="s">
        <v>27</v>
      </c>
      <c r="E22" s="4">
        <f t="shared" ref="E22:E41" si="1">$E$2-2</f>
        <v>2020</v>
      </c>
      <c r="F22" s="22">
        <v>163</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49</v>
      </c>
      <c r="H24" s="7"/>
    </row>
    <row r="25" spans="1:8" x14ac:dyDescent="0.25">
      <c r="A25" s="84"/>
      <c r="B25" s="52"/>
      <c r="C25" s="52"/>
      <c r="D25" s="12" t="s">
        <v>28</v>
      </c>
      <c r="E25" s="4">
        <f t="shared" si="1"/>
        <v>2020</v>
      </c>
      <c r="F25" s="22">
        <v>42</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11</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0</v>
      </c>
      <c r="G28" s="1">
        <f>IF(OR(Главная!AE14=E3,Главная!AE15=E3,Главная!AE16=E3,Главная!AE17=E3,Главная!AE22=E3),6,0)</f>
        <v>0</v>
      </c>
      <c r="H28" s="7" t="e">
        <f t="shared" si="0"/>
        <v>#DIV/0!</v>
      </c>
    </row>
    <row r="29" spans="1:8" x14ac:dyDescent="0.25">
      <c r="A29" s="78"/>
      <c r="B29" s="50"/>
      <c r="C29" s="50"/>
      <c r="D29" s="12" t="s">
        <v>86</v>
      </c>
      <c r="E29" s="14">
        <f>$E$2-3</f>
        <v>2019</v>
      </c>
      <c r="F29" s="22"/>
      <c r="H29" s="7"/>
    </row>
    <row r="30" spans="1:8" x14ac:dyDescent="0.25">
      <c r="A30" s="78"/>
      <c r="B30" s="50"/>
      <c r="C30" s="50"/>
      <c r="D30" s="12" t="s">
        <v>87</v>
      </c>
      <c r="E30" s="14">
        <f t="shared" ref="E30:E34" si="2">$E$2-3</f>
        <v>2019</v>
      </c>
      <c r="F30" s="22"/>
      <c r="H30" s="7"/>
    </row>
    <row r="31" spans="1:8" x14ac:dyDescent="0.25">
      <c r="A31" s="78"/>
      <c r="B31" s="50"/>
      <c r="C31" s="50"/>
      <c r="D31" s="12" t="s">
        <v>88</v>
      </c>
      <c r="E31" s="14">
        <f t="shared" si="2"/>
        <v>2019</v>
      </c>
      <c r="F31" s="22"/>
      <c r="H31" s="7"/>
    </row>
    <row r="32" spans="1:8" x14ac:dyDescent="0.25">
      <c r="A32" s="78"/>
      <c r="B32" s="50"/>
      <c r="C32" s="50"/>
      <c r="D32" s="12" t="s">
        <v>89</v>
      </c>
      <c r="E32" s="14">
        <f t="shared" si="2"/>
        <v>2019</v>
      </c>
      <c r="F32" s="22"/>
      <c r="H32" s="7"/>
    </row>
    <row r="33" spans="1:8" x14ac:dyDescent="0.25">
      <c r="A33" s="78" t="s">
        <v>142</v>
      </c>
      <c r="B33" s="50"/>
      <c r="C33" s="50"/>
      <c r="D33" s="12" t="s">
        <v>90</v>
      </c>
      <c r="E33" s="14">
        <f t="shared" si="2"/>
        <v>2019</v>
      </c>
      <c r="F33" s="22"/>
      <c r="H33" s="7"/>
    </row>
    <row r="34" spans="1:8" x14ac:dyDescent="0.25">
      <c r="A34" s="78"/>
      <c r="B34" s="50"/>
      <c r="C34" s="50"/>
      <c r="D34" s="12" t="s">
        <v>91</v>
      </c>
      <c r="E34" s="14">
        <f t="shared" si="2"/>
        <v>2019</v>
      </c>
      <c r="F34" s="22"/>
      <c r="H34" s="7"/>
    </row>
    <row r="35" spans="1:8" x14ac:dyDescent="0.25">
      <c r="A35" s="78"/>
      <c r="B35" s="50"/>
      <c r="C35" s="50"/>
      <c r="D35" s="12" t="s">
        <v>92</v>
      </c>
      <c r="E35" s="4">
        <f t="shared" ref="E35:E37" si="3">$E$2-2</f>
        <v>2020</v>
      </c>
      <c r="F35" s="22"/>
      <c r="H35" s="7"/>
    </row>
    <row r="36" spans="1:8" x14ac:dyDescent="0.25">
      <c r="A36" s="78"/>
      <c r="B36" s="50"/>
      <c r="C36" s="50"/>
      <c r="D36" s="12" t="s">
        <v>93</v>
      </c>
      <c r="E36" s="4">
        <f t="shared" si="3"/>
        <v>2020</v>
      </c>
      <c r="F36" s="22"/>
      <c r="H36" s="7"/>
    </row>
    <row r="37" spans="1:8" x14ac:dyDescent="0.25">
      <c r="A37" s="78"/>
      <c r="B37" s="50"/>
      <c r="C37" s="50"/>
      <c r="D37" s="12" t="s">
        <v>94</v>
      </c>
      <c r="E37" s="4">
        <f t="shared" si="3"/>
        <v>2020</v>
      </c>
      <c r="F37" s="22"/>
      <c r="H37" s="7"/>
    </row>
    <row r="38" spans="1:8" x14ac:dyDescent="0.25">
      <c r="A38" s="82" t="s">
        <v>123</v>
      </c>
      <c r="B38" s="51"/>
      <c r="C38" s="51" t="s">
        <v>120</v>
      </c>
      <c r="D38" s="13" t="s">
        <v>37</v>
      </c>
      <c r="E38" s="5"/>
      <c r="F38" s="1">
        <f>IFERROR(IF((F39+0.25*F40+0.1*F41)/(F22+0.25*F23+0.1*F24)&gt;=0.5,1,IF((F39+0.25*F40+0.1*F41)/(F22+0.25*F23+0.1*F24)&lt;=0,0,(F39+0.25*F40+0.1*F41)/(F22+0.25*F23+0.1*F24)/0.5))*G38,G38/3)</f>
        <v>1.3186420488385944</v>
      </c>
      <c r="G38" s="1">
        <f>IF(OR(Главная!AE14=E3,Главная!AE15=E3,Главная!AE16=E3,Главная!AE17=E3,Главная!AE22=E3),6,9)</f>
        <v>9</v>
      </c>
      <c r="H38" s="7">
        <f t="shared" si="0"/>
        <v>0.14651578320428826</v>
      </c>
    </row>
    <row r="39" spans="1:8" x14ac:dyDescent="0.25">
      <c r="A39" s="82"/>
      <c r="B39" s="52"/>
      <c r="C39" s="52"/>
      <c r="D39" s="12" t="s">
        <v>121</v>
      </c>
      <c r="E39" s="4">
        <f t="shared" si="1"/>
        <v>2020</v>
      </c>
      <c r="F39" s="22">
        <v>12</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3</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5</v>
      </c>
      <c r="G52" s="1">
        <v>5</v>
      </c>
      <c r="H52" s="7">
        <f t="shared" si="0"/>
        <v>1</v>
      </c>
    </row>
    <row r="53" spans="1:8" x14ac:dyDescent="0.25">
      <c r="A53" s="84"/>
      <c r="B53" s="52"/>
      <c r="C53" s="52"/>
      <c r="D53" s="12" t="s">
        <v>131</v>
      </c>
      <c r="E53" s="8" t="str">
        <f>"на 01.10."&amp;$E$2-3</f>
        <v>на 01.10.2019</v>
      </c>
      <c r="F53" s="22">
        <v>74</v>
      </c>
      <c r="H53" s="7"/>
    </row>
    <row r="54" spans="1:8" x14ac:dyDescent="0.25">
      <c r="A54" s="84"/>
      <c r="B54" s="52"/>
      <c r="C54" s="52"/>
      <c r="D54" s="12" t="s">
        <v>132</v>
      </c>
      <c r="E54" s="4" t="str">
        <f>"на 01.10."&amp;$E$2-2</f>
        <v>на 01.10.2020</v>
      </c>
      <c r="F54" s="22">
        <v>63</v>
      </c>
      <c r="H54" s="7"/>
    </row>
    <row r="55" spans="1:8" ht="15" customHeight="1" x14ac:dyDescent="0.25">
      <c r="A55" s="88" t="s">
        <v>59</v>
      </c>
      <c r="B55" s="91" t="s">
        <v>140</v>
      </c>
      <c r="C55" s="11" t="s">
        <v>134</v>
      </c>
      <c r="D55" s="13" t="s">
        <v>53</v>
      </c>
      <c r="E55" s="5"/>
      <c r="F55" s="1">
        <f>IFERROR(IF((F62/(F56+F59)+F63/(F57+F60)+F64/(F58+F61))/3*100&lt;=5,0,IF((F62/(F56+F59)+F63/(F57+F60)+F64/(F58+F61))/3*100&gt;=100,1,((F62/(F56+F59)+F63/(F57+F60)+F64/(F58+F61))/3*100-5)/95))*G55,"")</f>
        <v>0</v>
      </c>
      <c r="G55" s="1">
        <f>IF(OR(Главная!AE13=E3,Главная!AE14=E3,Главная!AE15=E3,Главная!AE21=E3,Главная!AE22=E3),8,0)</f>
        <v>0</v>
      </c>
      <c r="H55" s="7" t="e">
        <f t="shared" si="0"/>
        <v>#DIV/0!</v>
      </c>
    </row>
    <row r="56" spans="1:8" x14ac:dyDescent="0.25">
      <c r="A56" s="88"/>
      <c r="B56" s="92"/>
      <c r="C56" s="9"/>
      <c r="D56" s="12" t="s">
        <v>54</v>
      </c>
      <c r="E56" s="8">
        <f>$E$2-5</f>
        <v>2017</v>
      </c>
      <c r="F56" s="38">
        <v>1051.2</v>
      </c>
      <c r="H56" s="7"/>
    </row>
    <row r="57" spans="1:8" x14ac:dyDescent="0.25">
      <c r="A57" s="88"/>
      <c r="B57" s="92"/>
      <c r="C57" s="9"/>
      <c r="D57" s="12" t="s">
        <v>54</v>
      </c>
      <c r="E57" s="8">
        <f>$E$2-4</f>
        <v>2018</v>
      </c>
      <c r="F57" s="38">
        <v>1047.5</v>
      </c>
      <c r="H57" s="7"/>
    </row>
    <row r="58" spans="1:8" x14ac:dyDescent="0.25">
      <c r="A58" s="88"/>
      <c r="B58" s="92"/>
      <c r="C58" s="9"/>
      <c r="D58" s="12" t="s">
        <v>54</v>
      </c>
      <c r="E58" s="8">
        <f>$E$2-3</f>
        <v>2019</v>
      </c>
      <c r="F58" s="38">
        <v>1059.5</v>
      </c>
      <c r="H58" s="7"/>
    </row>
    <row r="59" spans="1:8" x14ac:dyDescent="0.25">
      <c r="A59" s="88"/>
      <c r="B59" s="92"/>
      <c r="C59" s="9"/>
      <c r="D59" s="12" t="s">
        <v>55</v>
      </c>
      <c r="E59" s="8">
        <f>$E$2-5</f>
        <v>2017</v>
      </c>
      <c r="F59" s="38">
        <v>56.2</v>
      </c>
      <c r="H59" s="7"/>
    </row>
    <row r="60" spans="1:8" x14ac:dyDescent="0.25">
      <c r="A60" s="88"/>
      <c r="B60" s="92"/>
      <c r="C60" s="9"/>
      <c r="D60" s="12" t="s">
        <v>55</v>
      </c>
      <c r="E60" s="8">
        <f>$E$2-4</f>
        <v>2018</v>
      </c>
      <c r="F60" s="38">
        <v>54.6</v>
      </c>
      <c r="H60" s="7"/>
    </row>
    <row r="61" spans="1:8" x14ac:dyDescent="0.25">
      <c r="A61" s="88"/>
      <c r="B61" s="92"/>
      <c r="C61" s="9"/>
      <c r="D61" s="12" t="s">
        <v>55</v>
      </c>
      <c r="E61" s="8">
        <f>$E$2-3</f>
        <v>2019</v>
      </c>
      <c r="F61" s="38">
        <v>56.5</v>
      </c>
      <c r="H61" s="7"/>
    </row>
    <row r="62" spans="1:8" x14ac:dyDescent="0.25">
      <c r="A62" s="88"/>
      <c r="B62" s="92"/>
      <c r="C62" s="9"/>
      <c r="D62" s="12" t="s">
        <v>56</v>
      </c>
      <c r="E62" s="8">
        <f>$E$2-5</f>
        <v>2017</v>
      </c>
      <c r="F62" s="38">
        <v>380</v>
      </c>
      <c r="H62" s="7"/>
    </row>
    <row r="63" spans="1:8" x14ac:dyDescent="0.25">
      <c r="A63" s="88"/>
      <c r="B63" s="92"/>
      <c r="C63" s="9"/>
      <c r="D63" s="12" t="s">
        <v>56</v>
      </c>
      <c r="E63" s="8">
        <f>$E$2-4</f>
        <v>2018</v>
      </c>
      <c r="F63" s="38">
        <v>830</v>
      </c>
      <c r="H63" s="7"/>
    </row>
    <row r="64" spans="1:8" x14ac:dyDescent="0.25">
      <c r="A64" s="88"/>
      <c r="B64" s="92"/>
      <c r="C64" s="9"/>
      <c r="D64" s="12" t="s">
        <v>56</v>
      </c>
      <c r="E64" s="8">
        <f>$E$2-3</f>
        <v>2019</v>
      </c>
      <c r="F64" s="38">
        <v>1149</v>
      </c>
      <c r="H64" s="7"/>
    </row>
    <row r="65" spans="1:8" x14ac:dyDescent="0.25">
      <c r="A65" s="87" t="s">
        <v>79</v>
      </c>
      <c r="B65" s="92"/>
      <c r="C65" s="11" t="s">
        <v>135</v>
      </c>
      <c r="D65" s="35" t="s">
        <v>57</v>
      </c>
      <c r="E65" s="36"/>
      <c r="F65" s="1">
        <f>IFERROR(IF((F66/(F56+F59)+F67/(F57+F60)+F68/(F58+F61))/3&lt;=100,0,IF((F66/(F56+F59)+F67/(F57+F60)+F68/(F58+F61))/3&gt;=1000,1,((F66/(F56+F59)+F67/(F57+F60)+F68/(F58+F61))/3-100)/900))*G65," ")</f>
        <v>0</v>
      </c>
      <c r="G65" s="1">
        <f>IF(OR(Главная!AE16=E3,Главная!AE17=E3,Главная!AE19=E3),10,IF(OR(Главная!AE13=E3,Главная!AE14=E3,Главная!AE15=E3,Главная!AE21=E3,Главная!AE22=E3),8,0))</f>
        <v>0</v>
      </c>
      <c r="H65" s="7" t="e">
        <f t="shared" si="0"/>
        <v>#DIV/0!</v>
      </c>
    </row>
    <row r="66" spans="1:8" x14ac:dyDescent="0.25">
      <c r="A66" s="87"/>
      <c r="B66" s="92"/>
      <c r="C66" s="9"/>
      <c r="D66" s="37" t="s">
        <v>161</v>
      </c>
      <c r="E66" s="8">
        <v>2017</v>
      </c>
      <c r="F66" s="38">
        <v>265431.7</v>
      </c>
      <c r="H66" s="7"/>
    </row>
    <row r="67" spans="1:8" x14ac:dyDescent="0.25">
      <c r="A67" s="87"/>
      <c r="B67" s="92"/>
      <c r="C67" s="9"/>
      <c r="D67" s="37" t="s">
        <v>161</v>
      </c>
      <c r="E67" s="8">
        <v>2018</v>
      </c>
      <c r="F67" s="38">
        <v>382808.6</v>
      </c>
      <c r="H67" s="7"/>
    </row>
    <row r="68" spans="1:8"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6.1322199921550755</v>
      </c>
      <c r="G69" s="1">
        <f>IF(OR(Главная!AE16=E3,Главная!AE17=E3,Главная!AE19=E3),10,IF(OR(Главная!AE13=E3,Главная!AE14=E3,Главная!AE15=E3,Главная!AE21=E3,Главная!AE22=E3),7,15))</f>
        <v>15</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14.431445813500748</v>
      </c>
      <c r="G76" s="1">
        <f>IF(OR(Главная!AE16=E3,Главная!AE17=E3,Главная!AE19=E3),10,IF(OR(Главная!AE13=E3,Главная!AE14=E3,Главная!AE15=E3,Главная!AE21=E3,Главная!AE22=E3),7,15))</f>
        <v>15</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79.321221881643737</v>
      </c>
      <c r="G89" s="1">
        <v>100</v>
      </c>
      <c r="H89" s="7">
        <f t="shared" ref="H89" si="5">F89/G89</f>
        <v>0.79321221881643733</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row r="94" spans="1:8" x14ac:dyDescent="0.25">
      <c r="C94" s="11" t="s">
        <v>96</v>
      </c>
      <c r="D94" s="86" t="s">
        <v>97</v>
      </c>
      <c r="E94" s="86"/>
      <c r="F94" s="86"/>
      <c r="G94" s="11"/>
      <c r="H94" s="7"/>
    </row>
    <row r="95" spans="1:8" x14ac:dyDescent="0.25">
      <c r="C95" s="9"/>
      <c r="D95" s="26" t="s">
        <v>124</v>
      </c>
      <c r="E95" s="65" t="s">
        <v>230</v>
      </c>
      <c r="F95" s="24">
        <f>20/3*2</f>
        <v>13.333333333333334</v>
      </c>
      <c r="G95" s="23"/>
      <c r="H95" s="7" t="e">
        <f t="shared" ref="H95:H99" si="7">F95/G95</f>
        <v>#DIV/0!</v>
      </c>
    </row>
    <row r="96" spans="1:8" x14ac:dyDescent="0.25">
      <c r="C96" s="9"/>
      <c r="D96" s="28"/>
      <c r="E96" s="27"/>
      <c r="F96" s="25"/>
      <c r="G96" s="23"/>
      <c r="H96" s="7" t="e">
        <f t="shared" si="7"/>
        <v>#DIV/0!</v>
      </c>
    </row>
    <row r="97" spans="3:8" x14ac:dyDescent="0.25">
      <c r="C97" s="9"/>
      <c r="D97" s="28"/>
      <c r="E97" s="27"/>
      <c r="F97" s="25"/>
      <c r="G97" s="23"/>
      <c r="H97" s="7" t="e">
        <f t="shared" si="7"/>
        <v>#DIV/0!</v>
      </c>
    </row>
    <row r="98" spans="3:8" x14ac:dyDescent="0.25">
      <c r="C98" s="9"/>
      <c r="D98" s="28"/>
      <c r="E98" s="27"/>
      <c r="F98" s="25"/>
      <c r="G98" s="23"/>
      <c r="H98" s="7" t="e">
        <f t="shared" si="7"/>
        <v>#DIV/0!</v>
      </c>
    </row>
    <row r="99" spans="3:8" x14ac:dyDescent="0.25">
      <c r="C99" s="9"/>
      <c r="D99" s="28"/>
      <c r="E99" s="27"/>
      <c r="F99" s="25"/>
      <c r="G99" s="23"/>
      <c r="H99" s="7" t="e">
        <f t="shared" si="7"/>
        <v>#DIV/0!</v>
      </c>
    </row>
  </sheetData>
  <mergeCells count="18">
    <mergeCell ref="A65:A68"/>
    <mergeCell ref="A69:A75"/>
    <mergeCell ref="A7:A9"/>
    <mergeCell ref="A10:A12"/>
    <mergeCell ref="A13:A14"/>
    <mergeCell ref="B55:B88"/>
    <mergeCell ref="D94:F94"/>
    <mergeCell ref="A15:A17"/>
    <mergeCell ref="A18:A20"/>
    <mergeCell ref="A21:A27"/>
    <mergeCell ref="A28:A32"/>
    <mergeCell ref="A33:A37"/>
    <mergeCell ref="A76:A88"/>
    <mergeCell ref="A89:A92"/>
    <mergeCell ref="A38:A41"/>
    <mergeCell ref="A42:A51"/>
    <mergeCell ref="A52:A54"/>
    <mergeCell ref="A55:A64"/>
  </mergeCells>
  <conditionalFormatting sqref="H1:H2 H4:H28 H38:H76">
    <cfRule type="iconSet" priority="8">
      <iconSet>
        <cfvo type="percent" val="0"/>
        <cfvo type="percent" val="33"/>
        <cfvo type="percent" val="67"/>
      </iconSet>
    </cfRule>
  </conditionalFormatting>
  <conditionalFormatting sqref="H89:H92">
    <cfRule type="iconSet" priority="7">
      <iconSet>
        <cfvo type="percent" val="0"/>
        <cfvo type="percent" val="33"/>
        <cfvo type="percent" val="67"/>
      </iconSet>
    </cfRule>
  </conditionalFormatting>
  <conditionalFormatting sqref="H94:H99">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conditionalFormatting sqref="F7">
    <cfRule type="expression" dxfId="6" priority="3">
      <formula>$F$7*3=$G$7</formula>
    </cfRule>
  </conditionalFormatting>
  <conditionalFormatting sqref="F1:F28 F38:F1048576">
    <cfRule type="expression" priority="1">
      <formula>$F:$F*3=$G:$G</formula>
    </cfRule>
    <cfRule type="expression" priority="2">
      <formula>$F$7*3=$G$7</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Главная!$AE$13:$AE$22</xm:f>
          </x14:formula1>
          <xm:sqref>E3</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1">
    <tabColor rgb="FF00B0F0"/>
  </sheetPr>
  <dimension ref="A1:H99"/>
  <sheetViews>
    <sheetView topLeftCell="A76" workbookViewId="0">
      <selection activeCell="A76" sqref="A1:C1048576"/>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206</v>
      </c>
    </row>
    <row r="4" spans="1:8" x14ac:dyDescent="0.25">
      <c r="A4" t="s">
        <v>81</v>
      </c>
      <c r="D4" s="12" t="s">
        <v>75</v>
      </c>
      <c r="E4" s="10">
        <f>F89</f>
        <v>71.932701247607312</v>
      </c>
      <c r="F4" t="s">
        <v>138</v>
      </c>
    </row>
    <row r="5" spans="1:8" x14ac:dyDescent="0.25">
      <c r="D5" s="12"/>
      <c r="E5" s="4"/>
    </row>
    <row r="6" spans="1:8" x14ac:dyDescent="0.25">
      <c r="A6" t="s">
        <v>7</v>
      </c>
      <c r="D6" s="12" t="s">
        <v>25</v>
      </c>
      <c r="E6" s="4" t="s">
        <v>21</v>
      </c>
      <c r="G6" t="s">
        <v>20</v>
      </c>
      <c r="H6" t="s">
        <v>42</v>
      </c>
    </row>
    <row r="7" spans="1:8" ht="30" customHeight="1" x14ac:dyDescent="0.25">
      <c r="A7" s="78" t="s">
        <v>104</v>
      </c>
      <c r="B7" s="50"/>
      <c r="C7" s="49" t="s">
        <v>98</v>
      </c>
      <c r="D7" s="13" t="s">
        <v>99</v>
      </c>
      <c r="E7" s="5"/>
      <c r="F7" s="1">
        <f>IF(F9/F8&gt;=0.5,1,IF(F9/F8&lt;=0.1,0,((F9/F8-0.1)/0.4)))*G7</f>
        <v>10</v>
      </c>
      <c r="G7" s="2">
        <v>10</v>
      </c>
      <c r="H7" s="7">
        <f>F7/G7</f>
        <v>1</v>
      </c>
    </row>
    <row r="8" spans="1:8" x14ac:dyDescent="0.25">
      <c r="A8" s="78"/>
      <c r="B8" s="50"/>
      <c r="C8" s="50"/>
      <c r="D8" s="12" t="s">
        <v>100</v>
      </c>
      <c r="E8" s="4">
        <f>$E$2-2</f>
        <v>2020</v>
      </c>
      <c r="F8" s="22">
        <v>74</v>
      </c>
      <c r="H8" s="7"/>
    </row>
    <row r="9" spans="1:8" x14ac:dyDescent="0.25">
      <c r="A9" s="78"/>
      <c r="B9" s="50"/>
      <c r="C9" s="49"/>
      <c r="D9" s="19" t="s">
        <v>101</v>
      </c>
      <c r="E9" s="4">
        <f>$E$2-2</f>
        <v>2020</v>
      </c>
      <c r="F9" s="39">
        <v>38</v>
      </c>
      <c r="G9" s="20"/>
      <c r="H9" s="7"/>
    </row>
    <row r="10" spans="1:8" ht="15" customHeight="1" x14ac:dyDescent="0.25">
      <c r="A10" s="82" t="s">
        <v>235</v>
      </c>
      <c r="B10" s="52"/>
      <c r="C10" s="51" t="s">
        <v>103</v>
      </c>
      <c r="D10" s="1" t="s">
        <v>102</v>
      </c>
      <c r="F10" s="1">
        <f>IFERROR(IF(F11/F12&lt;=1.5,0,IF(F11/F12&gt;=10,1,(F11/F12-1.5)/8.5))*G10,G10/3)</f>
        <v>1.1029411764705883</v>
      </c>
      <c r="G10" s="1">
        <v>5</v>
      </c>
      <c r="H10" s="7">
        <f t="shared" ref="H10:H76" si="0">F10/G10</f>
        <v>0.22058823529411767</v>
      </c>
    </row>
    <row r="11" spans="1:8" x14ac:dyDescent="0.25">
      <c r="A11" s="82"/>
      <c r="B11" s="52"/>
      <c r="C11" s="52"/>
      <c r="D11" t="s">
        <v>105</v>
      </c>
      <c r="E11" s="4">
        <f>$E$2-2</f>
        <v>2020</v>
      </c>
      <c r="F11" s="22">
        <v>54</v>
      </c>
      <c r="H11" s="7"/>
    </row>
    <row r="12" spans="1:8" x14ac:dyDescent="0.25">
      <c r="A12" s="82"/>
      <c r="B12" s="52"/>
      <c r="C12" s="52"/>
      <c r="D12" t="s">
        <v>109</v>
      </c>
      <c r="E12" s="4">
        <f>$E$2-2</f>
        <v>2020</v>
      </c>
      <c r="F12" s="22">
        <v>16</v>
      </c>
      <c r="H12" s="7"/>
    </row>
    <row r="13" spans="1:8" x14ac:dyDescent="0.25">
      <c r="A13" s="78" t="s">
        <v>111</v>
      </c>
      <c r="B13" s="50"/>
      <c r="C13" s="49" t="s">
        <v>107</v>
      </c>
      <c r="D13" s="1" t="s">
        <v>108</v>
      </c>
      <c r="E13" s="1"/>
      <c r="F13" s="1">
        <f>IFERROR(IF(F14/F12&lt;=0,0,IF(F14/F12&gt;=0.25,1,F14/F12/0.25))*G13,G13/3)</f>
        <v>5</v>
      </c>
      <c r="G13" s="1">
        <v>5</v>
      </c>
      <c r="H13" s="7">
        <f t="shared" si="0"/>
        <v>1</v>
      </c>
    </row>
    <row r="14" spans="1:8" x14ac:dyDescent="0.25">
      <c r="A14" s="78"/>
      <c r="B14" s="50"/>
      <c r="C14" s="50"/>
      <c r="D14" t="s">
        <v>110</v>
      </c>
      <c r="E14" s="4">
        <f>$E$2-2</f>
        <v>2020</v>
      </c>
      <c r="F14" s="22">
        <v>4</v>
      </c>
      <c r="H14" s="7"/>
    </row>
    <row r="15" spans="1:8" x14ac:dyDescent="0.25">
      <c r="A15" s="82" t="s">
        <v>115</v>
      </c>
      <c r="B15" s="66"/>
      <c r="C15" s="67" t="s">
        <v>112</v>
      </c>
      <c r="D15" s="1" t="s">
        <v>2</v>
      </c>
      <c r="E15" s="60"/>
      <c r="F15" s="11">
        <f>IFERROR(IF(F16/F17*100&lt;=80,0,IF(F16/F17*100&gt;=100,1,(F16/F17*100-80)/20))*G15,G15/3)</f>
        <v>5</v>
      </c>
      <c r="G15" s="1">
        <v>5</v>
      </c>
      <c r="H15" s="7">
        <f t="shared" si="0"/>
        <v>1</v>
      </c>
    </row>
    <row r="16" spans="1:8" x14ac:dyDescent="0.25">
      <c r="A16" s="82"/>
      <c r="B16" s="66"/>
      <c r="C16" s="66"/>
      <c r="D16" t="s">
        <v>113</v>
      </c>
      <c r="E16" s="4" t="str">
        <f>$E$2-2&amp;" "&amp;$E$2-3&amp;" "&amp;$E$2-4</f>
        <v>2020 2019 2018</v>
      </c>
      <c r="F16" s="22">
        <v>33</v>
      </c>
      <c r="H16" s="7"/>
    </row>
    <row r="17" spans="1:8" x14ac:dyDescent="0.25">
      <c r="A17" s="82"/>
      <c r="B17" s="66"/>
      <c r="C17" s="66"/>
      <c r="D17" t="s">
        <v>114</v>
      </c>
      <c r="E17" s="4" t="str">
        <f>$E$2-2&amp;" "&amp;$E$2-3&amp;" "&amp;$E$2-4</f>
        <v>2020 2019 2018</v>
      </c>
      <c r="F17" s="22">
        <v>33</v>
      </c>
      <c r="H17" s="7"/>
    </row>
    <row r="18" spans="1:8" x14ac:dyDescent="0.25">
      <c r="A18" s="78" t="s">
        <v>17</v>
      </c>
      <c r="B18" s="50"/>
      <c r="C18" s="49" t="s">
        <v>116</v>
      </c>
      <c r="D18" s="13" t="s">
        <v>14</v>
      </c>
      <c r="E18" s="5"/>
      <c r="F18" s="1">
        <f>IFERROR(IF(F19/F20&gt;=1,1,IF(F19/F20&lt;=0,0,(F19/F20)))*G18,G18/3)</f>
        <v>0</v>
      </c>
      <c r="G18" s="1">
        <v>2</v>
      </c>
      <c r="H18" s="7">
        <f t="shared" si="0"/>
        <v>0</v>
      </c>
    </row>
    <row r="19" spans="1:8" x14ac:dyDescent="0.25">
      <c r="A19" s="78"/>
      <c r="B19" s="50"/>
      <c r="C19" s="50"/>
      <c r="D19" s="12" t="s">
        <v>15</v>
      </c>
      <c r="E19" s="4">
        <f>$E$2-2</f>
        <v>2020</v>
      </c>
      <c r="F19" s="22">
        <v>0</v>
      </c>
      <c r="H19" s="7"/>
    </row>
    <row r="20" spans="1:8" x14ac:dyDescent="0.25">
      <c r="A20" s="78"/>
      <c r="B20" s="50"/>
      <c r="C20" s="50"/>
      <c r="D20" s="12" t="s">
        <v>16</v>
      </c>
      <c r="E20" s="4">
        <f>$E$2-2</f>
        <v>2020</v>
      </c>
      <c r="F20" s="22">
        <v>1</v>
      </c>
      <c r="H20" s="7"/>
    </row>
    <row r="21" spans="1:8" x14ac:dyDescent="0.25">
      <c r="A21" s="84" t="s">
        <v>119</v>
      </c>
      <c r="B21" s="52"/>
      <c r="C21" s="51" t="s">
        <v>118</v>
      </c>
      <c r="D21" s="13" t="s">
        <v>117</v>
      </c>
      <c r="E21" s="1"/>
      <c r="F21" s="1">
        <f>IFERROR(IF((F25+0.25*F26+0.1*F27)/(F22+0.25*F23+0.1*F24)&gt;=0.25,1,IF((F25+0.25*F26+0.1*F27)/(F22+0.25*F23+0.1*F24)&lt;=0,0,(F25+0.25*F26+0.1*F27)/(F22+0.25*F23+0.1*F24)/0.25))*G21,G21/3)</f>
        <v>9</v>
      </c>
      <c r="G21" s="1">
        <f>IF(OR(Главная!AE14=E3,Главная!AE15=E3,Главная!AE16=E3,Главная!AE17=E3,Главная!AE22=E3),6,9)</f>
        <v>9</v>
      </c>
      <c r="H21" s="7">
        <f t="shared" si="0"/>
        <v>1</v>
      </c>
    </row>
    <row r="22" spans="1:8" x14ac:dyDescent="0.25">
      <c r="A22" s="84"/>
      <c r="B22" s="52"/>
      <c r="C22" s="52"/>
      <c r="D22" s="12" t="s">
        <v>27</v>
      </c>
      <c r="E22" s="4">
        <f t="shared" ref="E22:E41" si="1">$E$2-2</f>
        <v>2020</v>
      </c>
      <c r="F22" s="22">
        <v>34</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14</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12</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0</v>
      </c>
      <c r="G28" s="1">
        <f>IF(OR(Главная!AE14=E3,Главная!AE15=E3,Главная!AE16=E3,Главная!AE17=E3,Главная!AE22=E3),6,0)</f>
        <v>0</v>
      </c>
      <c r="H28" s="7" t="e">
        <f t="shared" si="0"/>
        <v>#DIV/0!</v>
      </c>
    </row>
    <row r="29" spans="1:8" x14ac:dyDescent="0.25">
      <c r="A29" s="78"/>
      <c r="B29" s="50"/>
      <c r="C29" s="50"/>
      <c r="D29" s="12" t="s">
        <v>86</v>
      </c>
      <c r="E29" s="14">
        <f>$E$2-3</f>
        <v>2019</v>
      </c>
      <c r="F29" s="22"/>
      <c r="H29" s="7"/>
    </row>
    <row r="30" spans="1:8" x14ac:dyDescent="0.25">
      <c r="A30" s="78"/>
      <c r="B30" s="50"/>
      <c r="C30" s="50"/>
      <c r="D30" s="12" t="s">
        <v>87</v>
      </c>
      <c r="E30" s="14">
        <f t="shared" ref="E30:E34" si="2">$E$2-3</f>
        <v>2019</v>
      </c>
      <c r="F30" s="22"/>
      <c r="H30" s="7"/>
    </row>
    <row r="31" spans="1:8" x14ac:dyDescent="0.25">
      <c r="A31" s="78"/>
      <c r="B31" s="50"/>
      <c r="C31" s="50"/>
      <c r="D31" s="12" t="s">
        <v>88</v>
      </c>
      <c r="E31" s="14">
        <f t="shared" si="2"/>
        <v>2019</v>
      </c>
      <c r="F31" s="22"/>
      <c r="H31" s="7"/>
    </row>
    <row r="32" spans="1:8" x14ac:dyDescent="0.25">
      <c r="A32" s="78"/>
      <c r="B32" s="50"/>
      <c r="C32" s="50"/>
      <c r="D32" s="12" t="s">
        <v>89</v>
      </c>
      <c r="E32" s="14">
        <f t="shared" si="2"/>
        <v>2019</v>
      </c>
      <c r="F32" s="22"/>
      <c r="H32" s="7"/>
    </row>
    <row r="33" spans="1:8" x14ac:dyDescent="0.25">
      <c r="A33" s="78" t="s">
        <v>142</v>
      </c>
      <c r="B33" s="50"/>
      <c r="C33" s="50"/>
      <c r="D33" s="12" t="s">
        <v>90</v>
      </c>
      <c r="E33" s="14">
        <f t="shared" si="2"/>
        <v>2019</v>
      </c>
      <c r="F33" s="22"/>
      <c r="H33" s="7"/>
    </row>
    <row r="34" spans="1:8" x14ac:dyDescent="0.25">
      <c r="A34" s="78"/>
      <c r="B34" s="50"/>
      <c r="C34" s="50"/>
      <c r="D34" s="12" t="s">
        <v>91</v>
      </c>
      <c r="E34" s="14">
        <f t="shared" si="2"/>
        <v>2019</v>
      </c>
      <c r="F34" s="22"/>
      <c r="H34" s="7"/>
    </row>
    <row r="35" spans="1:8" x14ac:dyDescent="0.25">
      <c r="A35" s="78"/>
      <c r="B35" s="50"/>
      <c r="C35" s="50"/>
      <c r="D35" s="12" t="s">
        <v>92</v>
      </c>
      <c r="E35" s="4">
        <f t="shared" ref="E35:E37" si="3">$E$2-2</f>
        <v>2020</v>
      </c>
      <c r="F35" s="22"/>
      <c r="H35" s="7"/>
    </row>
    <row r="36" spans="1:8" x14ac:dyDescent="0.25">
      <c r="A36" s="78"/>
      <c r="B36" s="50"/>
      <c r="C36" s="50"/>
      <c r="D36" s="12" t="s">
        <v>93</v>
      </c>
      <c r="E36" s="4">
        <f t="shared" si="3"/>
        <v>2020</v>
      </c>
      <c r="F36" s="22"/>
      <c r="H36" s="7"/>
    </row>
    <row r="37" spans="1:8" x14ac:dyDescent="0.25">
      <c r="A37" s="78"/>
      <c r="B37" s="50"/>
      <c r="C37" s="50"/>
      <c r="D37" s="12" t="s">
        <v>94</v>
      </c>
      <c r="E37" s="4">
        <f t="shared" si="3"/>
        <v>2020</v>
      </c>
      <c r="F37" s="22"/>
      <c r="H37" s="7"/>
    </row>
    <row r="38" spans="1:8" x14ac:dyDescent="0.25">
      <c r="A38" s="82" t="s">
        <v>123</v>
      </c>
      <c r="B38" s="51"/>
      <c r="C38" s="51" t="s">
        <v>120</v>
      </c>
      <c r="D38" s="13" t="s">
        <v>37</v>
      </c>
      <c r="E38" s="5"/>
      <c r="F38" s="1">
        <f>IFERROR(IF((F39+0.25*F40+0.1*F41)/(F22+0.25*F23+0.1*F24)&gt;=0.5,1,IF((F39+0.25*F40+0.1*F41)/(F22+0.25*F23+0.1*F24)&lt;=0,0,(F39+0.25*F40+0.1*F41)/(F22+0.25*F23+0.1*F24)/0.5))*G38,G38/3)</f>
        <v>0</v>
      </c>
      <c r="G38" s="1">
        <f>IF(OR(Главная!AE14=E3,Главная!AE15=E3,Главная!AE16=E3,Главная!AE17=E3,Главная!AE22=E3),6,9)</f>
        <v>9</v>
      </c>
      <c r="H38" s="7">
        <f t="shared" si="0"/>
        <v>0</v>
      </c>
    </row>
    <row r="39" spans="1:8" x14ac:dyDescent="0.25">
      <c r="A39" s="82"/>
      <c r="B39" s="52"/>
      <c r="C39" s="52"/>
      <c r="D39" s="12" t="s">
        <v>121</v>
      </c>
      <c r="E39" s="4">
        <f t="shared" si="1"/>
        <v>2020</v>
      </c>
      <c r="F39" s="22">
        <v>0</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5</v>
      </c>
      <c r="G52" s="1">
        <v>5</v>
      </c>
      <c r="H52" s="7">
        <f t="shared" si="0"/>
        <v>1</v>
      </c>
    </row>
    <row r="53" spans="1:8" x14ac:dyDescent="0.25">
      <c r="A53" s="84"/>
      <c r="B53" s="52"/>
      <c r="C53" s="52"/>
      <c r="D53" s="12" t="s">
        <v>131</v>
      </c>
      <c r="E53" s="8" t="str">
        <f>"на 01.10."&amp;$E$2-3</f>
        <v>на 01.10.2019</v>
      </c>
      <c r="F53" s="22">
        <v>11</v>
      </c>
      <c r="H53" s="7"/>
    </row>
    <row r="54" spans="1:8" x14ac:dyDescent="0.25">
      <c r="A54" s="84"/>
      <c r="B54" s="52"/>
      <c r="C54" s="52"/>
      <c r="D54" s="12" t="s">
        <v>132</v>
      </c>
      <c r="E54" s="4" t="str">
        <f>"на 01.10."&amp;$E$2-2</f>
        <v>на 01.10.2020</v>
      </c>
      <c r="F54" s="22">
        <v>12</v>
      </c>
      <c r="H54" s="7"/>
    </row>
    <row r="55" spans="1:8" ht="15" customHeight="1" x14ac:dyDescent="0.25">
      <c r="A55" s="88" t="s">
        <v>59</v>
      </c>
      <c r="B55" s="91" t="s">
        <v>140</v>
      </c>
      <c r="C55" s="11" t="s">
        <v>134</v>
      </c>
      <c r="D55" s="13" t="s">
        <v>53</v>
      </c>
      <c r="E55" s="5"/>
      <c r="F55" s="1">
        <f>IFERROR(IF((F62/(F56+F59)+F63/(F57+F60)+F64/(F58+F61))/3*100&lt;=5,0,IF((F62/(F56+F59)+F63/(F57+F60)+F64/(F58+F61))/3*100&gt;=100,1,((F62/(F56+F59)+F63/(F57+F60)+F64/(F58+F61))/3*100-5)/95))*G55,"")</f>
        <v>0</v>
      </c>
      <c r="G55" s="1">
        <f>IF(OR(Главная!AE13=E3,Главная!AE14=E3,Главная!AE15=E3,Главная!AE21=E3,Главная!AE22=E3),8,0)</f>
        <v>0</v>
      </c>
      <c r="H55" s="7" t="e">
        <f t="shared" si="0"/>
        <v>#DIV/0!</v>
      </c>
    </row>
    <row r="56" spans="1:8" x14ac:dyDescent="0.25">
      <c r="A56" s="88"/>
      <c r="B56" s="92"/>
      <c r="C56" s="9"/>
      <c r="D56" s="12" t="s">
        <v>54</v>
      </c>
      <c r="E56" s="8">
        <f>$E$2-5</f>
        <v>2017</v>
      </c>
      <c r="F56" s="38">
        <v>1051.2</v>
      </c>
      <c r="H56" s="7"/>
    </row>
    <row r="57" spans="1:8" x14ac:dyDescent="0.25">
      <c r="A57" s="88"/>
      <c r="B57" s="92"/>
      <c r="C57" s="9"/>
      <c r="D57" s="12" t="s">
        <v>54</v>
      </c>
      <c r="E57" s="8">
        <f>$E$2-4</f>
        <v>2018</v>
      </c>
      <c r="F57" s="38">
        <v>1047.5</v>
      </c>
      <c r="H57" s="7"/>
    </row>
    <row r="58" spans="1:8" x14ac:dyDescent="0.25">
      <c r="A58" s="88"/>
      <c r="B58" s="92"/>
      <c r="C58" s="9"/>
      <c r="D58" s="12" t="s">
        <v>54</v>
      </c>
      <c r="E58" s="8">
        <f>$E$2-3</f>
        <v>2019</v>
      </c>
      <c r="F58" s="38">
        <v>1059.5</v>
      </c>
      <c r="H58" s="7"/>
    </row>
    <row r="59" spans="1:8" x14ac:dyDescent="0.25">
      <c r="A59" s="88"/>
      <c r="B59" s="92"/>
      <c r="C59" s="9"/>
      <c r="D59" s="12" t="s">
        <v>55</v>
      </c>
      <c r="E59" s="8">
        <f>$E$2-5</f>
        <v>2017</v>
      </c>
      <c r="F59" s="38">
        <v>56.2</v>
      </c>
      <c r="H59" s="7"/>
    </row>
    <row r="60" spans="1:8" x14ac:dyDescent="0.25">
      <c r="A60" s="88"/>
      <c r="B60" s="92"/>
      <c r="C60" s="9"/>
      <c r="D60" s="12" t="s">
        <v>55</v>
      </c>
      <c r="E60" s="8">
        <f>$E$2-4</f>
        <v>2018</v>
      </c>
      <c r="F60" s="38">
        <v>54.6</v>
      </c>
      <c r="H60" s="7"/>
    </row>
    <row r="61" spans="1:8" x14ac:dyDescent="0.25">
      <c r="A61" s="88"/>
      <c r="B61" s="92"/>
      <c r="C61" s="9"/>
      <c r="D61" s="12" t="s">
        <v>55</v>
      </c>
      <c r="E61" s="8">
        <f>$E$2-3</f>
        <v>2019</v>
      </c>
      <c r="F61" s="38">
        <v>56.5</v>
      </c>
      <c r="H61" s="7"/>
    </row>
    <row r="62" spans="1:8" x14ac:dyDescent="0.25">
      <c r="A62" s="88"/>
      <c r="B62" s="92"/>
      <c r="C62" s="9"/>
      <c r="D62" s="12" t="s">
        <v>56</v>
      </c>
      <c r="E62" s="8">
        <f>$E$2-5</f>
        <v>2017</v>
      </c>
      <c r="F62" s="38">
        <v>380</v>
      </c>
      <c r="H62" s="7"/>
    </row>
    <row r="63" spans="1:8" x14ac:dyDescent="0.25">
      <c r="A63" s="88"/>
      <c r="B63" s="92"/>
      <c r="C63" s="9"/>
      <c r="D63" s="12" t="s">
        <v>56</v>
      </c>
      <c r="E63" s="8">
        <f>$E$2-4</f>
        <v>2018</v>
      </c>
      <c r="F63" s="38">
        <v>830</v>
      </c>
      <c r="H63" s="7"/>
    </row>
    <row r="64" spans="1:8" x14ac:dyDescent="0.25">
      <c r="A64" s="88"/>
      <c r="B64" s="92"/>
      <c r="C64" s="9"/>
      <c r="D64" s="12" t="s">
        <v>56</v>
      </c>
      <c r="E64" s="8">
        <f>$E$2-3</f>
        <v>2019</v>
      </c>
      <c r="F64" s="38">
        <v>1149</v>
      </c>
      <c r="H64" s="7"/>
    </row>
    <row r="65" spans="1:8" x14ac:dyDescent="0.25">
      <c r="A65" s="87" t="s">
        <v>79</v>
      </c>
      <c r="B65" s="92"/>
      <c r="C65" s="11" t="s">
        <v>135</v>
      </c>
      <c r="D65" s="35" t="s">
        <v>57</v>
      </c>
      <c r="E65" s="36"/>
      <c r="F65" s="1">
        <f>IFERROR(IF((F66/(F56+F59)+F67/(F57+F60)+F68/(F58+F61))/3&lt;=100,0,IF((F66/(F56+F59)+F67/(F57+F60)+F68/(F58+F61))/3&gt;=1000,1,((F66/(F56+F59)+F67/(F57+F60)+F68/(F58+F61))/3-100)/900))*G65," ")</f>
        <v>3.1206495340328533</v>
      </c>
      <c r="G65" s="1">
        <f>IF(OR(Главная!AE16=E3,Главная!AE17=E3,Главная!AE19=E3),10,IF(OR(Главная!AE13=E3,Главная!AE14=E3,Главная!AE15=E3,Главная!AE21=E3,Главная!AE22=E3),8,0))</f>
        <v>10</v>
      </c>
      <c r="H65" s="7">
        <f t="shared" si="0"/>
        <v>0.31206495340328533</v>
      </c>
    </row>
    <row r="66" spans="1:8" x14ac:dyDescent="0.25">
      <c r="A66" s="87"/>
      <c r="B66" s="92"/>
      <c r="C66" s="9"/>
      <c r="D66" s="37" t="s">
        <v>161</v>
      </c>
      <c r="E66" s="8">
        <v>2017</v>
      </c>
      <c r="F66" s="38">
        <v>265431.7</v>
      </c>
      <c r="H66" s="7"/>
    </row>
    <row r="67" spans="1:8" x14ac:dyDescent="0.25">
      <c r="A67" s="87"/>
      <c r="B67" s="92"/>
      <c r="C67" s="9"/>
      <c r="D67" s="37" t="s">
        <v>161</v>
      </c>
      <c r="E67" s="8">
        <v>2018</v>
      </c>
      <c r="F67" s="38">
        <v>382808.6</v>
      </c>
      <c r="H67" s="7"/>
    </row>
    <row r="68" spans="1:8"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4.088146661436717</v>
      </c>
      <c r="G69" s="1">
        <f>IF(OR(Главная!AE16=E3,Главная!AE17=E3,Главная!AE19=E3),10,IF(OR(Главная!AE13=E3,Главная!AE14=E3,Главная!AE15=E3,Главная!AE21=E3,Главная!AE22=E3),7,15))</f>
        <v>10</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9.6209638756671652</v>
      </c>
      <c r="G76" s="1">
        <f>IF(OR(Главная!AE16=E3,Главная!AE17=E3,Главная!AE19=E3),10,IF(OR(Главная!AE13=E3,Главная!AE14=E3,Главная!AE15=E3,Главная!AE21=E3,Главная!AE22=E3),7,15))</f>
        <v>10</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71.932701247607312</v>
      </c>
      <c r="G89" s="1">
        <v>100</v>
      </c>
      <c r="H89" s="7">
        <f t="shared" ref="H89" si="5">F89/G89</f>
        <v>0.71932701247607311</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row r="94" spans="1:8" x14ac:dyDescent="0.25">
      <c r="C94" s="11" t="s">
        <v>96</v>
      </c>
      <c r="D94" s="86" t="s">
        <v>97</v>
      </c>
      <c r="E94" s="86"/>
      <c r="F94" s="86"/>
      <c r="G94" s="11"/>
      <c r="H94" s="7"/>
    </row>
    <row r="95" spans="1:8" x14ac:dyDescent="0.25">
      <c r="C95" s="9"/>
      <c r="D95" s="26" t="s">
        <v>124</v>
      </c>
      <c r="E95" s="65" t="s">
        <v>230</v>
      </c>
      <c r="F95" s="24">
        <f>20/3*2</f>
        <v>13.333333333333334</v>
      </c>
      <c r="G95" s="23"/>
      <c r="H95" s="7" t="e">
        <f t="shared" ref="H95:H99" si="7">F95/G95</f>
        <v>#DIV/0!</v>
      </c>
    </row>
    <row r="96" spans="1:8" x14ac:dyDescent="0.25">
      <c r="C96" s="9"/>
      <c r="D96" s="28"/>
      <c r="E96" s="27"/>
      <c r="F96" s="25"/>
      <c r="G96" s="23"/>
      <c r="H96" s="7" t="e">
        <f t="shared" si="7"/>
        <v>#DIV/0!</v>
      </c>
    </row>
    <row r="97" spans="3:8" x14ac:dyDescent="0.25">
      <c r="C97" s="9"/>
      <c r="D97" s="28"/>
      <c r="E97" s="27"/>
      <c r="F97" s="25"/>
      <c r="G97" s="23"/>
      <c r="H97" s="7" t="e">
        <f t="shared" si="7"/>
        <v>#DIV/0!</v>
      </c>
    </row>
    <row r="98" spans="3:8" x14ac:dyDescent="0.25">
      <c r="C98" s="9"/>
      <c r="D98" s="28"/>
      <c r="E98" s="27"/>
      <c r="F98" s="25"/>
      <c r="G98" s="23"/>
      <c r="H98" s="7" t="e">
        <f t="shared" si="7"/>
        <v>#DIV/0!</v>
      </c>
    </row>
    <row r="99" spans="3:8" x14ac:dyDescent="0.25">
      <c r="C99" s="9"/>
      <c r="D99" s="28"/>
      <c r="E99" s="27"/>
      <c r="F99" s="25"/>
      <c r="G99" s="23"/>
      <c r="H99" s="7" t="e">
        <f t="shared" si="7"/>
        <v>#DIV/0!</v>
      </c>
    </row>
  </sheetData>
  <mergeCells count="18">
    <mergeCell ref="A65:A68"/>
    <mergeCell ref="A69:A75"/>
    <mergeCell ref="A7:A9"/>
    <mergeCell ref="A10:A12"/>
    <mergeCell ref="A13:A14"/>
    <mergeCell ref="B55:B88"/>
    <mergeCell ref="D94:F94"/>
    <mergeCell ref="A15:A17"/>
    <mergeCell ref="A18:A20"/>
    <mergeCell ref="A21:A27"/>
    <mergeCell ref="A28:A32"/>
    <mergeCell ref="A33:A37"/>
    <mergeCell ref="A76:A88"/>
    <mergeCell ref="A89:A92"/>
    <mergeCell ref="A38:A41"/>
    <mergeCell ref="A42:A51"/>
    <mergeCell ref="A52:A54"/>
    <mergeCell ref="A55:A64"/>
  </mergeCells>
  <conditionalFormatting sqref="H1:H2 H4:H28 H38:H76">
    <cfRule type="iconSet" priority="8">
      <iconSet>
        <cfvo type="percent" val="0"/>
        <cfvo type="percent" val="33"/>
        <cfvo type="percent" val="67"/>
      </iconSet>
    </cfRule>
  </conditionalFormatting>
  <conditionalFormatting sqref="H89:H92">
    <cfRule type="iconSet" priority="7">
      <iconSet>
        <cfvo type="percent" val="0"/>
        <cfvo type="percent" val="33"/>
        <cfvo type="percent" val="67"/>
      </iconSet>
    </cfRule>
  </conditionalFormatting>
  <conditionalFormatting sqref="H94:H99">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conditionalFormatting sqref="F7">
    <cfRule type="expression" dxfId="5" priority="3">
      <formula>$F$7*3=$G$7</formula>
    </cfRule>
  </conditionalFormatting>
  <conditionalFormatting sqref="F1:F28 F38:F1048576">
    <cfRule type="expression" priority="1">
      <formula>$F:$F*3=$G:$G</formula>
    </cfRule>
    <cfRule type="expression" priority="2">
      <formula>$F$7*3=$G$7</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Главная!$AE$13:$AE$22</xm:f>
          </x14:formula1>
          <xm:sqref>E3</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2">
    <tabColor rgb="FF0070C0"/>
  </sheetPr>
  <dimension ref="A1:H92"/>
  <sheetViews>
    <sheetView topLeftCell="A9" workbookViewId="0">
      <selection activeCell="F21" sqref="F21"/>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245</v>
      </c>
    </row>
    <row r="4" spans="1:8" x14ac:dyDescent="0.25">
      <c r="A4" t="s">
        <v>81</v>
      </c>
      <c r="D4" s="12" t="s">
        <v>75</v>
      </c>
      <c r="E4" s="10">
        <f>F89</f>
        <v>45.801761043751064</v>
      </c>
      <c r="F4" t="s">
        <v>138</v>
      </c>
    </row>
    <row r="5" spans="1:8" x14ac:dyDescent="0.25">
      <c r="D5" s="12"/>
      <c r="E5" s="4"/>
    </row>
    <row r="6" spans="1:8" x14ac:dyDescent="0.25">
      <c r="A6" t="s">
        <v>7</v>
      </c>
      <c r="D6" s="12" t="s">
        <v>25</v>
      </c>
      <c r="E6" s="4" t="s">
        <v>21</v>
      </c>
      <c r="G6" t="s">
        <v>20</v>
      </c>
      <c r="H6" t="s">
        <v>42</v>
      </c>
    </row>
    <row r="7" spans="1:8" x14ac:dyDescent="0.25">
      <c r="A7" s="78" t="s">
        <v>104</v>
      </c>
      <c r="B7" s="50"/>
      <c r="C7" s="49" t="s">
        <v>98</v>
      </c>
      <c r="D7" s="13" t="s">
        <v>99</v>
      </c>
      <c r="E7" s="5"/>
      <c r="F7" s="1">
        <f>IFERROR(IF(F9/F8&lt;=0.1,0,IF(F9/F8&gt;=0.5,1,(F9/F8-0.1)/0.4))*G7,G7/3)</f>
        <v>3.3333333333333335</v>
      </c>
      <c r="G7" s="2">
        <v>10</v>
      </c>
      <c r="H7" s="7">
        <f>F7/G7</f>
        <v>0.33333333333333337</v>
      </c>
    </row>
    <row r="8" spans="1:8" x14ac:dyDescent="0.25">
      <c r="A8" s="78"/>
      <c r="B8" s="50"/>
      <c r="C8" s="50"/>
      <c r="D8" s="12" t="s">
        <v>100</v>
      </c>
      <c r="E8" s="4">
        <f>$E$2-2</f>
        <v>2020</v>
      </c>
      <c r="F8" s="22">
        <v>0</v>
      </c>
      <c r="H8" s="7"/>
    </row>
    <row r="9" spans="1:8" x14ac:dyDescent="0.25">
      <c r="A9" s="78"/>
      <c r="B9" s="50"/>
      <c r="C9" s="49"/>
      <c r="D9" s="19" t="s">
        <v>101</v>
      </c>
      <c r="E9" s="4">
        <f>$E$2-2</f>
        <v>2020</v>
      </c>
      <c r="F9" s="39">
        <v>0</v>
      </c>
      <c r="G9" s="20"/>
      <c r="H9" s="7"/>
    </row>
    <row r="10" spans="1:8" x14ac:dyDescent="0.25">
      <c r="A10" s="82" t="s">
        <v>235</v>
      </c>
      <c r="B10" s="52"/>
      <c r="C10" s="51" t="s">
        <v>103</v>
      </c>
      <c r="D10" s="1" t="s">
        <v>102</v>
      </c>
      <c r="F10" s="1">
        <f>IFERROR(IF(F11/F12&lt;=1.5,0,IF(F11/F12&gt;=10,1,(F11/F12-1.5)/8.5))*G10,G10/3)</f>
        <v>1.6666666666666667</v>
      </c>
      <c r="G10" s="1">
        <v>5</v>
      </c>
      <c r="H10" s="7">
        <f t="shared" ref="H10:H76" si="0">F10/G10</f>
        <v>0.33333333333333337</v>
      </c>
    </row>
    <row r="11" spans="1:8" x14ac:dyDescent="0.25">
      <c r="A11" s="82"/>
      <c r="B11" s="52"/>
      <c r="C11" s="52"/>
      <c r="D11" t="s">
        <v>105</v>
      </c>
      <c r="E11" s="4">
        <f>$E$2-2</f>
        <v>2020</v>
      </c>
      <c r="F11" s="22">
        <v>0</v>
      </c>
      <c r="H11" s="7"/>
    </row>
    <row r="12" spans="1:8" x14ac:dyDescent="0.25">
      <c r="A12" s="82"/>
      <c r="B12" s="52"/>
      <c r="C12" s="52"/>
      <c r="D12" t="s">
        <v>109</v>
      </c>
      <c r="E12" s="4">
        <f>$E$2-2</f>
        <v>2020</v>
      </c>
      <c r="F12" s="22">
        <v>0</v>
      </c>
      <c r="H12" s="7"/>
    </row>
    <row r="13" spans="1:8" x14ac:dyDescent="0.25">
      <c r="A13" s="78" t="s">
        <v>111</v>
      </c>
      <c r="B13" s="50"/>
      <c r="C13" s="49" t="s">
        <v>107</v>
      </c>
      <c r="D13" s="1" t="s">
        <v>108</v>
      </c>
      <c r="E13" s="1"/>
      <c r="F13" s="1">
        <f>IFERROR(IF(F14/F12&lt;=0,0,IF(F14/F12&gt;=0.25,1,F14/F12/0.25))*G13,G13/3)</f>
        <v>1.6666666666666667</v>
      </c>
      <c r="G13" s="1">
        <v>5</v>
      </c>
      <c r="H13" s="7">
        <f t="shared" si="0"/>
        <v>0.33333333333333337</v>
      </c>
    </row>
    <row r="14" spans="1:8" x14ac:dyDescent="0.25">
      <c r="A14" s="78"/>
      <c r="B14" s="50"/>
      <c r="C14" s="50"/>
      <c r="D14" t="s">
        <v>110</v>
      </c>
      <c r="E14" s="4">
        <f>$E$2-2</f>
        <v>2020</v>
      </c>
      <c r="F14" s="22">
        <v>0</v>
      </c>
      <c r="H14" s="7"/>
    </row>
    <row r="15" spans="1:8" x14ac:dyDescent="0.25">
      <c r="A15" s="82" t="s">
        <v>115</v>
      </c>
      <c r="B15" s="66"/>
      <c r="C15" s="67" t="s">
        <v>112</v>
      </c>
      <c r="D15" s="1" t="s">
        <v>2</v>
      </c>
      <c r="E15" s="63"/>
      <c r="F15" s="11">
        <f>IFERROR(IF(F16/F17*100&lt;=80,0,IF(F16/F17*100&gt;=100,1,(F16/F17*100-80)/20))*G15,G15/3)</f>
        <v>1.6666666666666667</v>
      </c>
      <c r="G15" s="1">
        <v>5</v>
      </c>
      <c r="H15" s="7">
        <f t="shared" si="0"/>
        <v>0.33333333333333337</v>
      </c>
    </row>
    <row r="16" spans="1:8" x14ac:dyDescent="0.25">
      <c r="A16" s="82"/>
      <c r="B16" s="66"/>
      <c r="C16" s="66"/>
      <c r="D16" t="s">
        <v>113</v>
      </c>
      <c r="E16" s="4" t="str">
        <f>$E$2-2&amp;" "&amp;$E$2-3&amp;" "&amp;$E$2-4</f>
        <v>2020 2019 2018</v>
      </c>
      <c r="F16" s="22">
        <v>0</v>
      </c>
      <c r="H16" s="7"/>
    </row>
    <row r="17" spans="1:8" x14ac:dyDescent="0.25">
      <c r="A17" s="82"/>
      <c r="B17" s="66"/>
      <c r="C17" s="66"/>
      <c r="D17" t="s">
        <v>114</v>
      </c>
      <c r="E17" s="4" t="str">
        <f>$E$2-2&amp;" "&amp;$E$2-3&amp;" "&amp;$E$2-4</f>
        <v>2020 2019 2018</v>
      </c>
      <c r="F17" s="22">
        <v>0</v>
      </c>
      <c r="H17" s="7"/>
    </row>
    <row r="18" spans="1:8" x14ac:dyDescent="0.25">
      <c r="A18" s="78" t="s">
        <v>17</v>
      </c>
      <c r="B18" s="50"/>
      <c r="C18" s="49" t="s">
        <v>116</v>
      </c>
      <c r="D18" s="13" t="s">
        <v>14</v>
      </c>
      <c r="E18" s="5"/>
      <c r="F18" s="1">
        <f>IFERROR(IF(F19/F20&gt;=1,1,IF(F19/F20&lt;=0,0,(F19/F20)))*G18,G18/3)</f>
        <v>0.66666666666666663</v>
      </c>
      <c r="G18" s="1">
        <v>2</v>
      </c>
      <c r="H18" s="7">
        <f t="shared" si="0"/>
        <v>0.33333333333333331</v>
      </c>
    </row>
    <row r="19" spans="1:8" x14ac:dyDescent="0.25">
      <c r="A19" s="78"/>
      <c r="B19" s="50"/>
      <c r="C19" s="50"/>
      <c r="D19" s="12" t="s">
        <v>15</v>
      </c>
      <c r="E19" s="4">
        <f>$E$2-2</f>
        <v>2020</v>
      </c>
      <c r="F19" s="22">
        <v>0</v>
      </c>
      <c r="H19" s="7"/>
    </row>
    <row r="20" spans="1:8" x14ac:dyDescent="0.25">
      <c r="A20" s="78"/>
      <c r="B20" s="50"/>
      <c r="C20" s="50"/>
      <c r="D20" s="12" t="s">
        <v>16</v>
      </c>
      <c r="E20" s="4">
        <f>$E$2-2</f>
        <v>2020</v>
      </c>
      <c r="F20" s="22">
        <v>0</v>
      </c>
      <c r="H20" s="7"/>
    </row>
    <row r="21" spans="1:8" x14ac:dyDescent="0.25">
      <c r="A21" s="84" t="s">
        <v>119</v>
      </c>
      <c r="B21" s="52"/>
      <c r="C21" s="51" t="s">
        <v>118</v>
      </c>
      <c r="D21" s="13" t="s">
        <v>117</v>
      </c>
      <c r="E21" s="1"/>
      <c r="F21" s="1">
        <f>IFERROR(IF((F25+0.25*F26+0.1*F27)/(F22+0.25*F23+0.1*F24)&gt;=0.25,1,IF((F25+0.25*F26+0.1*F27)/(F22+0.25*F23+0.1*F24)&lt;=0,0,(F25+0.25*F26+0.1*F27)/(F22+0.25*F23+0.1*F24)/0.25))*G21,G21/3)</f>
        <v>2</v>
      </c>
      <c r="G21" s="1">
        <v>6</v>
      </c>
      <c r="H21" s="7">
        <f t="shared" si="0"/>
        <v>0.33333333333333331</v>
      </c>
    </row>
    <row r="22" spans="1:8" x14ac:dyDescent="0.25">
      <c r="A22" s="84"/>
      <c r="B22" s="52"/>
      <c r="C22" s="52"/>
      <c r="D22" s="12" t="s">
        <v>27</v>
      </c>
      <c r="E22" s="4">
        <f t="shared" ref="E22:E41" si="1">$E$2-2</f>
        <v>2020</v>
      </c>
      <c r="F22" s="22">
        <v>0</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0</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0</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2</v>
      </c>
      <c r="G28" s="1">
        <v>6</v>
      </c>
      <c r="H28" s="7">
        <f t="shared" si="0"/>
        <v>0.33333333333333331</v>
      </c>
    </row>
    <row r="29" spans="1:8" x14ac:dyDescent="0.25">
      <c r="A29" s="78"/>
      <c r="B29" s="50"/>
      <c r="C29" s="50"/>
      <c r="D29" s="12" t="s">
        <v>86</v>
      </c>
      <c r="E29" s="14">
        <f>$E$2-3</f>
        <v>2019</v>
      </c>
      <c r="F29" s="22">
        <v>0</v>
      </c>
      <c r="H29" s="7"/>
    </row>
    <row r="30" spans="1:8" x14ac:dyDescent="0.25">
      <c r="A30" s="78"/>
      <c r="B30" s="50"/>
      <c r="C30" s="50"/>
      <c r="D30" s="12" t="s">
        <v>87</v>
      </c>
      <c r="E30" s="14">
        <f t="shared" ref="E30:E34" si="2">$E$2-3</f>
        <v>2019</v>
      </c>
      <c r="F30" s="22">
        <v>0</v>
      </c>
      <c r="H30" s="7"/>
    </row>
    <row r="31" spans="1:8" x14ac:dyDescent="0.25">
      <c r="A31" s="78"/>
      <c r="B31" s="50"/>
      <c r="C31" s="50"/>
      <c r="D31" s="12" t="s">
        <v>88</v>
      </c>
      <c r="E31" s="14">
        <f t="shared" si="2"/>
        <v>2019</v>
      </c>
      <c r="F31" s="22">
        <v>0</v>
      </c>
      <c r="H31" s="7"/>
    </row>
    <row r="32" spans="1:8" x14ac:dyDescent="0.25">
      <c r="A32" s="78"/>
      <c r="B32" s="50"/>
      <c r="C32" s="50"/>
      <c r="D32" s="12" t="s">
        <v>89</v>
      </c>
      <c r="E32" s="14">
        <f t="shared" si="2"/>
        <v>2019</v>
      </c>
      <c r="F32" s="22">
        <v>0</v>
      </c>
      <c r="H32" s="7"/>
    </row>
    <row r="33" spans="1:8" x14ac:dyDescent="0.25">
      <c r="A33" s="78" t="s">
        <v>142</v>
      </c>
      <c r="B33" s="50"/>
      <c r="C33" s="50"/>
      <c r="D33" s="12" t="s">
        <v>90</v>
      </c>
      <c r="E33" s="14">
        <f t="shared" si="2"/>
        <v>2019</v>
      </c>
      <c r="F33" s="22">
        <v>0</v>
      </c>
      <c r="H33" s="7"/>
    </row>
    <row r="34" spans="1:8" x14ac:dyDescent="0.25">
      <c r="A34" s="78"/>
      <c r="B34" s="50"/>
      <c r="C34" s="50"/>
      <c r="D34" s="12" t="s">
        <v>91</v>
      </c>
      <c r="E34" s="14">
        <f t="shared" si="2"/>
        <v>2019</v>
      </c>
      <c r="F34" s="22">
        <v>0</v>
      </c>
      <c r="H34" s="7"/>
    </row>
    <row r="35" spans="1:8" x14ac:dyDescent="0.25">
      <c r="A35" s="78"/>
      <c r="B35" s="50"/>
      <c r="C35" s="50"/>
      <c r="D35" s="12" t="s">
        <v>92</v>
      </c>
      <c r="E35" s="4">
        <f t="shared" ref="E35:E37" si="3">$E$2-2</f>
        <v>2020</v>
      </c>
      <c r="F35" s="22">
        <v>0</v>
      </c>
      <c r="H35" s="7"/>
    </row>
    <row r="36" spans="1:8" x14ac:dyDescent="0.25">
      <c r="A36" s="78"/>
      <c r="B36" s="50"/>
      <c r="C36" s="50"/>
      <c r="D36" s="12" t="s">
        <v>93</v>
      </c>
      <c r="E36" s="4">
        <f t="shared" si="3"/>
        <v>2020</v>
      </c>
      <c r="F36" s="22">
        <v>0</v>
      </c>
      <c r="H36" s="7"/>
    </row>
    <row r="37" spans="1:8" x14ac:dyDescent="0.25">
      <c r="A37" s="78"/>
      <c r="B37" s="50"/>
      <c r="C37" s="50"/>
      <c r="D37" s="12" t="s">
        <v>94</v>
      </c>
      <c r="E37" s="4">
        <f t="shared" si="3"/>
        <v>2020</v>
      </c>
      <c r="F37" s="22">
        <v>0</v>
      </c>
      <c r="H37" s="7"/>
    </row>
    <row r="38" spans="1:8" x14ac:dyDescent="0.25">
      <c r="A38" s="82" t="s">
        <v>123</v>
      </c>
      <c r="B38" s="51"/>
      <c r="C38" s="51" t="s">
        <v>120</v>
      </c>
      <c r="D38" s="13" t="s">
        <v>37</v>
      </c>
      <c r="E38" s="5"/>
      <c r="F38" s="1">
        <f>IFERROR(IF((F39+0.25*F40+0.1*F41)/(F22+0.25*F23+0.1*F24)&gt;=0.5,1,IF((F39+0.25*F40+0.1*F41)/(F22+0.25*F23+0.1*F24)&lt;=0,0,(F39+0.25*F40+0.1*F41)/(F22+0.25*F23+0.1*F24)/0.5))*G38,G38/3)</f>
        <v>2</v>
      </c>
      <c r="G38" s="1">
        <v>6</v>
      </c>
      <c r="H38" s="7">
        <f t="shared" si="0"/>
        <v>0.33333333333333331</v>
      </c>
    </row>
    <row r="39" spans="1:8" x14ac:dyDescent="0.25">
      <c r="A39" s="82"/>
      <c r="B39" s="52"/>
      <c r="C39" s="52"/>
      <c r="D39" s="12" t="s">
        <v>121</v>
      </c>
      <c r="E39" s="4">
        <f t="shared" si="1"/>
        <v>2020</v>
      </c>
      <c r="F39" s="22">
        <v>0</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3.5714285714285712</v>
      </c>
      <c r="G52" s="1">
        <v>5</v>
      </c>
      <c r="H52" s="7">
        <f t="shared" si="0"/>
        <v>0.71428571428571419</v>
      </c>
    </row>
    <row r="53" spans="1:8" x14ac:dyDescent="0.25">
      <c r="A53" s="84"/>
      <c r="B53" s="52"/>
      <c r="C53" s="52"/>
      <c r="D53" s="12" t="s">
        <v>131</v>
      </c>
      <c r="E53" s="8" t="str">
        <f>"на 01.10."&amp;$E$2-3</f>
        <v>на 01.10.2019</v>
      </c>
      <c r="F53" s="22">
        <v>35</v>
      </c>
      <c r="H53" s="7"/>
    </row>
    <row r="54" spans="1:8" x14ac:dyDescent="0.25">
      <c r="A54" s="84"/>
      <c r="B54" s="52"/>
      <c r="C54" s="52"/>
      <c r="D54" s="12" t="s">
        <v>132</v>
      </c>
      <c r="E54" s="4" t="str">
        <f>"на 01.10."&amp;$E$2-2</f>
        <v>на 01.10.2020</v>
      </c>
      <c r="F54" s="22">
        <v>23</v>
      </c>
      <c r="H54" s="7"/>
    </row>
    <row r="55" spans="1:8" hidden="1" x14ac:dyDescent="0.25">
      <c r="A55" s="88" t="s">
        <v>59</v>
      </c>
      <c r="B55" s="91" t="s">
        <v>140</v>
      </c>
      <c r="C55" s="11" t="s">
        <v>134</v>
      </c>
      <c r="D55" s="13" t="s">
        <v>53</v>
      </c>
      <c r="E55" s="5"/>
      <c r="F55" s="1">
        <f>IFERROR(IF((F62/(F56+F59)+F63/(F57+F60)+F64/(F58+F61))/3*100&lt;=5,0,IF((F62/(F56+F59)+F63/(F57+F60)+F64/(F58+F61))/3*100&gt;=100,1,((F62/(F56+F59)+F63/(F57+F60)+F64/(F58+F61))/3*100-5)/95))*G55,"")</f>
        <v>0</v>
      </c>
      <c r="G55" s="1">
        <v>0</v>
      </c>
      <c r="H55" s="7" t="e">
        <f t="shared" si="0"/>
        <v>#DIV/0!</v>
      </c>
    </row>
    <row r="56" spans="1:8" hidden="1" x14ac:dyDescent="0.25">
      <c r="A56" s="88"/>
      <c r="B56" s="92"/>
      <c r="C56" s="9"/>
      <c r="D56" s="12" t="s">
        <v>54</v>
      </c>
      <c r="E56" s="8">
        <f>$E$2-5</f>
        <v>2017</v>
      </c>
      <c r="F56" s="38">
        <v>1051.2</v>
      </c>
      <c r="H56" s="7"/>
    </row>
    <row r="57" spans="1:8" hidden="1" x14ac:dyDescent="0.25">
      <c r="A57" s="88"/>
      <c r="B57" s="92"/>
      <c r="C57" s="9"/>
      <c r="D57" s="12" t="s">
        <v>54</v>
      </c>
      <c r="E57" s="8">
        <f>$E$2-4</f>
        <v>2018</v>
      </c>
      <c r="F57" s="38">
        <v>1047.5</v>
      </c>
      <c r="H57" s="7"/>
    </row>
    <row r="58" spans="1:8" hidden="1" x14ac:dyDescent="0.25">
      <c r="A58" s="88"/>
      <c r="B58" s="92"/>
      <c r="C58" s="9"/>
      <c r="D58" s="12" t="s">
        <v>54</v>
      </c>
      <c r="E58" s="8">
        <f>$E$2-3</f>
        <v>2019</v>
      </c>
      <c r="F58" s="38">
        <v>1059.5</v>
      </c>
      <c r="H58" s="7"/>
    </row>
    <row r="59" spans="1:8" hidden="1" x14ac:dyDescent="0.25">
      <c r="A59" s="88"/>
      <c r="B59" s="92"/>
      <c r="C59" s="9"/>
      <c r="D59" s="12" t="s">
        <v>55</v>
      </c>
      <c r="E59" s="8">
        <f>$E$2-5</f>
        <v>2017</v>
      </c>
      <c r="F59" s="38">
        <v>56.2</v>
      </c>
      <c r="H59" s="7"/>
    </row>
    <row r="60" spans="1:8" hidden="1" x14ac:dyDescent="0.25">
      <c r="A60" s="88"/>
      <c r="B60" s="92"/>
      <c r="C60" s="9"/>
      <c r="D60" s="12" t="s">
        <v>55</v>
      </c>
      <c r="E60" s="8">
        <f>$E$2-4</f>
        <v>2018</v>
      </c>
      <c r="F60" s="38">
        <v>54.6</v>
      </c>
      <c r="H60" s="7"/>
    </row>
    <row r="61" spans="1:8" hidden="1" x14ac:dyDescent="0.25">
      <c r="A61" s="88"/>
      <c r="B61" s="92"/>
      <c r="C61" s="9"/>
      <c r="D61" s="12" t="s">
        <v>55</v>
      </c>
      <c r="E61" s="8">
        <f>$E$2-3</f>
        <v>2019</v>
      </c>
      <c r="F61" s="38">
        <v>56.5</v>
      </c>
      <c r="H61" s="7"/>
    </row>
    <row r="62" spans="1:8" hidden="1" x14ac:dyDescent="0.25">
      <c r="A62" s="88"/>
      <c r="B62" s="92"/>
      <c r="C62" s="9"/>
      <c r="D62" s="12" t="s">
        <v>56</v>
      </c>
      <c r="E62" s="8">
        <f>$E$2-5</f>
        <v>2017</v>
      </c>
      <c r="F62" s="38">
        <v>380</v>
      </c>
      <c r="H62" s="7"/>
    </row>
    <row r="63" spans="1:8" hidden="1" x14ac:dyDescent="0.25">
      <c r="A63" s="88"/>
      <c r="B63" s="92"/>
      <c r="C63" s="9"/>
      <c r="D63" s="12" t="s">
        <v>56</v>
      </c>
      <c r="E63" s="8">
        <f>$E$2-4</f>
        <v>2018</v>
      </c>
      <c r="F63" s="38">
        <v>830</v>
      </c>
      <c r="H63" s="7"/>
    </row>
    <row r="64" spans="1:8" hidden="1" x14ac:dyDescent="0.25">
      <c r="A64" s="88"/>
      <c r="B64" s="92"/>
      <c r="C64" s="9"/>
      <c r="D64" s="12" t="s">
        <v>56</v>
      </c>
      <c r="E64" s="8">
        <f>$E$2-3</f>
        <v>2019</v>
      </c>
      <c r="F64" s="38">
        <v>1149</v>
      </c>
      <c r="H64" s="7"/>
    </row>
    <row r="65" spans="1:8" hidden="1" x14ac:dyDescent="0.25">
      <c r="A65" s="87" t="s">
        <v>79</v>
      </c>
      <c r="B65" s="92"/>
      <c r="C65" s="11" t="s">
        <v>135</v>
      </c>
      <c r="D65" s="35" t="s">
        <v>57</v>
      </c>
      <c r="E65" s="36"/>
      <c r="F65" s="1">
        <f>IFERROR(IF((F66/(F56+F59)+F67/(F57+F60)+F68/(F58+F61))/3&lt;=100,0,IF((F66/(F56+F59)+F67/(F57+F60)+F68/(F58+F61))/3&gt;=1000,1,((F66/(F56+F59)+F67/(F57+F60)+F68/(F58+F61))/3-100)/900))*G65," ")</f>
        <v>0</v>
      </c>
      <c r="G65" s="1">
        <v>0</v>
      </c>
      <c r="H65" s="7" t="e">
        <f t="shared" si="0"/>
        <v>#DIV/0!</v>
      </c>
    </row>
    <row r="66" spans="1:8" hidden="1" x14ac:dyDescent="0.25">
      <c r="A66" s="87"/>
      <c r="B66" s="92"/>
      <c r="C66" s="9"/>
      <c r="D66" s="37" t="s">
        <v>161</v>
      </c>
      <c r="E66" s="8">
        <v>2017</v>
      </c>
      <c r="F66" s="38">
        <v>265431.7</v>
      </c>
      <c r="H66" s="7"/>
    </row>
    <row r="67" spans="1:8" hidden="1" x14ac:dyDescent="0.25">
      <c r="A67" s="87"/>
      <c r="B67" s="92"/>
      <c r="C67" s="9"/>
      <c r="D67" s="37" t="s">
        <v>161</v>
      </c>
      <c r="E67" s="8">
        <v>2018</v>
      </c>
      <c r="F67" s="38">
        <v>382808.6</v>
      </c>
      <c r="H67" s="7"/>
    </row>
    <row r="68" spans="1:8" hidden="1"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6.1322199921550755</v>
      </c>
      <c r="G69" s="1">
        <v>15</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14.431445813500748</v>
      </c>
      <c r="G76" s="1">
        <v>15</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45.801761043751064</v>
      </c>
      <c r="G89" s="1">
        <v>100</v>
      </c>
      <c r="H89" s="7">
        <f t="shared" ref="H89" si="5">F89/G89</f>
        <v>0.45801761043751066</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sheetData>
  <mergeCells count="17">
    <mergeCell ref="A21:A27"/>
    <mergeCell ref="A7:A9"/>
    <mergeCell ref="A10:A12"/>
    <mergeCell ref="A13:A14"/>
    <mergeCell ref="A15:A17"/>
    <mergeCell ref="A18:A20"/>
    <mergeCell ref="A28:A32"/>
    <mergeCell ref="A33:A37"/>
    <mergeCell ref="A38:A41"/>
    <mergeCell ref="A42:A51"/>
    <mergeCell ref="A52:A54"/>
    <mergeCell ref="B55:B88"/>
    <mergeCell ref="A65:A68"/>
    <mergeCell ref="A69:A75"/>
    <mergeCell ref="A76:A88"/>
    <mergeCell ref="A89:A92"/>
    <mergeCell ref="A55:A64"/>
  </mergeCells>
  <conditionalFormatting sqref="H1:H2 H4:H28 H38:H76">
    <cfRule type="iconSet" priority="7">
      <iconSet>
        <cfvo type="percent" val="0"/>
        <cfvo type="percent" val="33"/>
        <cfvo type="percent" val="67"/>
      </iconSet>
    </cfRule>
  </conditionalFormatting>
  <conditionalFormatting sqref="H89:H92">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3" id="{62352449-DFB3-4BB2-8C48-D83457710215}">
            <xm:f>'01.04.00'!$F$7*3='01.04.00'!$G$7</xm:f>
            <x14:dxf>
              <fill>
                <patternFill>
                  <bgColor rgb="FFFFC000"/>
                </patternFill>
              </fill>
            </x14:dxf>
          </x14:cfRule>
          <xm:sqref>F7</xm:sqref>
        </x14:conditionalFormatting>
        <x14:conditionalFormatting xmlns:xm="http://schemas.microsoft.com/office/excel/2006/main">
          <x14:cfRule type="expression" priority="1" id="{1F6647A0-27EE-4E37-A5EC-E64D3BB2CCDB}">
            <xm:f>'01.04.00'!$F:$F*3='01.04.00'!$G:$G</xm:f>
            <x14:dxf/>
          </x14:cfRule>
          <x14:cfRule type="expression" priority="2" id="{65B9D194-4CAF-4350-BECE-0237E8DBA3FB}">
            <xm:f>'01.04.00'!$F$7*3='01.04.00'!$G$7</xm:f>
            <x14:dxf/>
          </x14:cfRule>
          <xm:sqref>F1:F92</xm:sqref>
        </x14:conditionalFormatting>
      </x14:conditionalFormatting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4">
    <tabColor rgb="FF00B0F0"/>
  </sheetPr>
  <dimension ref="A1:H99"/>
  <sheetViews>
    <sheetView topLeftCell="A31" workbookViewId="0">
      <selection activeCell="E39" sqref="E39"/>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207</v>
      </c>
    </row>
    <row r="4" spans="1:8" x14ac:dyDescent="0.25">
      <c r="A4" t="s">
        <v>81</v>
      </c>
      <c r="D4" s="12" t="s">
        <v>75</v>
      </c>
      <c r="E4" s="10">
        <f>F89</f>
        <v>63.141056629315308</v>
      </c>
      <c r="F4" t="s">
        <v>138</v>
      </c>
    </row>
    <row r="5" spans="1:8" x14ac:dyDescent="0.25">
      <c r="D5" s="12"/>
      <c r="E5" s="4"/>
    </row>
    <row r="6" spans="1:8" x14ac:dyDescent="0.25">
      <c r="A6" t="s">
        <v>7</v>
      </c>
      <c r="D6" s="12" t="s">
        <v>25</v>
      </c>
      <c r="E6" s="4" t="s">
        <v>21</v>
      </c>
      <c r="G6" t="s">
        <v>20</v>
      </c>
      <c r="H6" t="s">
        <v>42</v>
      </c>
    </row>
    <row r="7" spans="1:8" ht="30" customHeight="1" x14ac:dyDescent="0.25">
      <c r="A7" s="78" t="s">
        <v>104</v>
      </c>
      <c r="B7" s="50"/>
      <c r="C7" s="49" t="s">
        <v>98</v>
      </c>
      <c r="D7" s="13" t="s">
        <v>99</v>
      </c>
      <c r="E7" s="5"/>
      <c r="F7" s="1">
        <f>IF(F9/F8&gt;=0.5,1,IF(F9/F8&lt;=0.1,0,((F9/F8-0.1)/0.4)))*G7</f>
        <v>7.9477611940298507</v>
      </c>
      <c r="G7" s="2">
        <v>10</v>
      </c>
      <c r="H7" s="7">
        <f>F7/G7</f>
        <v>0.79477611940298509</v>
      </c>
    </row>
    <row r="8" spans="1:8" x14ac:dyDescent="0.25">
      <c r="A8" s="78"/>
      <c r="B8" s="50"/>
      <c r="C8" s="50"/>
      <c r="D8" s="12" t="s">
        <v>100</v>
      </c>
      <c r="E8" s="4">
        <f>$E$2-2</f>
        <v>2020</v>
      </c>
      <c r="F8" s="22">
        <v>201</v>
      </c>
      <c r="H8" s="7"/>
    </row>
    <row r="9" spans="1:8" x14ac:dyDescent="0.25">
      <c r="A9" s="78"/>
      <c r="B9" s="50"/>
      <c r="C9" s="49"/>
      <c r="D9" s="19" t="s">
        <v>101</v>
      </c>
      <c r="E9" s="4">
        <f>$E$2-2</f>
        <v>2020</v>
      </c>
      <c r="F9" s="39">
        <v>84</v>
      </c>
      <c r="G9" s="20"/>
      <c r="H9" s="7"/>
    </row>
    <row r="10" spans="1:8" ht="15" customHeight="1" x14ac:dyDescent="0.25">
      <c r="A10" s="82" t="s">
        <v>235</v>
      </c>
      <c r="B10" s="52"/>
      <c r="C10" s="51" t="s">
        <v>103</v>
      </c>
      <c r="D10" s="1" t="s">
        <v>102</v>
      </c>
      <c r="F10" s="1">
        <f>IFERROR(IF(F11/F12&lt;=1.5,0,IF(F11/F12&gt;=10,1,(F11/F12-1.5)/8.5))*G10,G10/3)</f>
        <v>3.1481481481481484</v>
      </c>
      <c r="G10" s="1">
        <v>5</v>
      </c>
      <c r="H10" s="7">
        <f t="shared" ref="H10:H76" si="0">F10/G10</f>
        <v>0.62962962962962965</v>
      </c>
    </row>
    <row r="11" spans="1:8" x14ac:dyDescent="0.25">
      <c r="A11" s="82"/>
      <c r="B11" s="52"/>
      <c r="C11" s="52"/>
      <c r="D11" t="s">
        <v>105</v>
      </c>
      <c r="E11" s="4">
        <f>$E$2-2</f>
        <v>2020</v>
      </c>
      <c r="F11" s="22">
        <v>185</v>
      </c>
      <c r="H11" s="7"/>
    </row>
    <row r="12" spans="1:8" x14ac:dyDescent="0.25">
      <c r="A12" s="82"/>
      <c r="B12" s="52"/>
      <c r="C12" s="52"/>
      <c r="D12" t="s">
        <v>109</v>
      </c>
      <c r="E12" s="4">
        <f>$E$2-2</f>
        <v>2020</v>
      </c>
      <c r="F12" s="22">
        <v>27</v>
      </c>
      <c r="H12" s="7"/>
    </row>
    <row r="13" spans="1:8" x14ac:dyDescent="0.25">
      <c r="A13" s="78" t="s">
        <v>111</v>
      </c>
      <c r="B13" s="50"/>
      <c r="C13" s="49" t="s">
        <v>107</v>
      </c>
      <c r="D13" s="1" t="s">
        <v>108</v>
      </c>
      <c r="E13" s="1"/>
      <c r="F13" s="1">
        <f>IFERROR(IF(F14/F12&lt;=0,0,IF(F14/F12&gt;=0.25,1,F14/F12/0.25))*G13,G13/3)</f>
        <v>1.4814814814814814</v>
      </c>
      <c r="G13" s="1">
        <v>5</v>
      </c>
      <c r="H13" s="7">
        <f t="shared" si="0"/>
        <v>0.29629629629629628</v>
      </c>
    </row>
    <row r="14" spans="1:8" x14ac:dyDescent="0.25">
      <c r="A14" s="78"/>
      <c r="B14" s="50"/>
      <c r="C14" s="50"/>
      <c r="D14" t="s">
        <v>110</v>
      </c>
      <c r="E14" s="4">
        <f>$E$2-2</f>
        <v>2020</v>
      </c>
      <c r="F14" s="22">
        <v>2</v>
      </c>
      <c r="H14" s="7"/>
    </row>
    <row r="15" spans="1:8" x14ac:dyDescent="0.25">
      <c r="A15" s="82" t="s">
        <v>115</v>
      </c>
      <c r="B15" s="66"/>
      <c r="C15" s="67" t="s">
        <v>112</v>
      </c>
      <c r="D15" s="1" t="s">
        <v>2</v>
      </c>
      <c r="E15" s="60"/>
      <c r="F15" s="11">
        <f>IFERROR(IF(F16/F17*100&lt;=80,0,IF(F16/F17*100&gt;=100,1,(F16/F17*100-80)/20))*G15,G15/3)</f>
        <v>5</v>
      </c>
      <c r="G15" s="1">
        <v>5</v>
      </c>
      <c r="H15" s="7">
        <f t="shared" si="0"/>
        <v>1</v>
      </c>
    </row>
    <row r="16" spans="1:8" x14ac:dyDescent="0.25">
      <c r="A16" s="82"/>
      <c r="B16" s="66"/>
      <c r="C16" s="66"/>
      <c r="D16" t="s">
        <v>113</v>
      </c>
      <c r="E16" s="4" t="str">
        <f>$E$2-2&amp;" "&amp;$E$2-3&amp;" "&amp;$E$2-4</f>
        <v>2020 2019 2018</v>
      </c>
      <c r="F16" s="22">
        <v>45</v>
      </c>
      <c r="H16" s="7"/>
    </row>
    <row r="17" spans="1:8" x14ac:dyDescent="0.25">
      <c r="A17" s="82"/>
      <c r="B17" s="66"/>
      <c r="C17" s="66"/>
      <c r="D17" t="s">
        <v>114</v>
      </c>
      <c r="E17" s="4" t="str">
        <f>$E$2-2&amp;" "&amp;$E$2-3&amp;" "&amp;$E$2-4</f>
        <v>2020 2019 2018</v>
      </c>
      <c r="F17" s="22">
        <v>45</v>
      </c>
      <c r="H17" s="7"/>
    </row>
    <row r="18" spans="1:8" x14ac:dyDescent="0.25">
      <c r="A18" s="78" t="s">
        <v>17</v>
      </c>
      <c r="B18" s="50"/>
      <c r="C18" s="49" t="s">
        <v>116</v>
      </c>
      <c r="D18" s="13" t="s">
        <v>14</v>
      </c>
      <c r="E18" s="5"/>
      <c r="F18" s="1">
        <f>IFERROR(IF(F19/F20&gt;=1,1,IF(F19/F20&lt;=0,0,(F19/F20)))*G18,G18/3)</f>
        <v>0</v>
      </c>
      <c r="G18" s="1">
        <v>2</v>
      </c>
      <c r="H18" s="7">
        <f t="shared" si="0"/>
        <v>0</v>
      </c>
    </row>
    <row r="19" spans="1:8" x14ac:dyDescent="0.25">
      <c r="A19" s="78"/>
      <c r="B19" s="50"/>
      <c r="C19" s="50"/>
      <c r="D19" s="12" t="s">
        <v>15</v>
      </c>
      <c r="E19" s="4">
        <f>$E$2-2</f>
        <v>2020</v>
      </c>
      <c r="F19" s="22">
        <v>0</v>
      </c>
      <c r="H19" s="7"/>
    </row>
    <row r="20" spans="1:8" x14ac:dyDescent="0.25">
      <c r="A20" s="78"/>
      <c r="B20" s="50"/>
      <c r="C20" s="50"/>
      <c r="D20" s="12" t="s">
        <v>16</v>
      </c>
      <c r="E20" s="4">
        <f>$E$2-2</f>
        <v>2020</v>
      </c>
      <c r="F20" s="22">
        <v>1</v>
      </c>
      <c r="H20" s="7"/>
    </row>
    <row r="21" spans="1:8" x14ac:dyDescent="0.25">
      <c r="A21" s="84" t="s">
        <v>119</v>
      </c>
      <c r="B21" s="52"/>
      <c r="C21" s="51" t="s">
        <v>118</v>
      </c>
      <c r="D21" s="13" t="s">
        <v>117</v>
      </c>
      <c r="E21" s="1"/>
      <c r="F21" s="1">
        <f>IFERROR(IF((F25+0.25*F26+0.1*F27)/(F22+0.25*F23+0.1*F24)&gt;=0.25,1,IF((F25+0.25*F26+0.1*F27)/(F22+0.25*F23+0.1*F24)&lt;=0,0,(F25+0.25*F26+0.1*F27)/(F22+0.25*F23+0.1*F24)/0.25))*G21,G21/3)</f>
        <v>0</v>
      </c>
      <c r="G21" s="1">
        <f>IF(OR(Главная!AE14=E3,Главная!AE15=E3,Главная!AE16=E3,Главная!AE17=E3,Главная!AE22=E3),6,9)</f>
        <v>9</v>
      </c>
      <c r="H21" s="7">
        <f t="shared" si="0"/>
        <v>0</v>
      </c>
    </row>
    <row r="22" spans="1:8" x14ac:dyDescent="0.25">
      <c r="A22" s="84"/>
      <c r="B22" s="52"/>
      <c r="C22" s="52"/>
      <c r="D22" s="12" t="s">
        <v>27</v>
      </c>
      <c r="E22" s="4">
        <f t="shared" ref="E22:E41" si="1">$E$2-2</f>
        <v>2020</v>
      </c>
      <c r="F22" s="22">
        <v>41</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0</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0</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0</v>
      </c>
      <c r="G28" s="1">
        <f>IF(OR(Главная!AE14=E3,Главная!AE15=E3,Главная!AE16=E3,Главная!AE17=E3,Главная!AE22=E3),6,0)</f>
        <v>0</v>
      </c>
      <c r="H28" s="7" t="e">
        <f t="shared" si="0"/>
        <v>#DIV/0!</v>
      </c>
    </row>
    <row r="29" spans="1:8" x14ac:dyDescent="0.25">
      <c r="A29" s="78"/>
      <c r="B29" s="50"/>
      <c r="C29" s="50"/>
      <c r="D29" s="12" t="s">
        <v>86</v>
      </c>
      <c r="E29" s="14">
        <f>$E$2-3</f>
        <v>2019</v>
      </c>
      <c r="F29" s="22"/>
      <c r="H29" s="7"/>
    </row>
    <row r="30" spans="1:8" x14ac:dyDescent="0.25">
      <c r="A30" s="78"/>
      <c r="B30" s="50"/>
      <c r="C30" s="50"/>
      <c r="D30" s="12" t="s">
        <v>87</v>
      </c>
      <c r="E30" s="14">
        <f t="shared" ref="E30:E34" si="2">$E$2-3</f>
        <v>2019</v>
      </c>
      <c r="F30" s="22"/>
      <c r="H30" s="7"/>
    </row>
    <row r="31" spans="1:8" x14ac:dyDescent="0.25">
      <c r="A31" s="78"/>
      <c r="B31" s="50"/>
      <c r="C31" s="50"/>
      <c r="D31" s="12" t="s">
        <v>88</v>
      </c>
      <c r="E31" s="14">
        <f t="shared" si="2"/>
        <v>2019</v>
      </c>
      <c r="F31" s="22"/>
      <c r="H31" s="7"/>
    </row>
    <row r="32" spans="1:8" x14ac:dyDescent="0.25">
      <c r="A32" s="78"/>
      <c r="B32" s="50"/>
      <c r="C32" s="50"/>
      <c r="D32" s="12" t="s">
        <v>89</v>
      </c>
      <c r="E32" s="14">
        <f t="shared" si="2"/>
        <v>2019</v>
      </c>
      <c r="F32" s="22"/>
      <c r="H32" s="7"/>
    </row>
    <row r="33" spans="1:8" x14ac:dyDescent="0.25">
      <c r="A33" s="78" t="s">
        <v>142</v>
      </c>
      <c r="B33" s="50"/>
      <c r="C33" s="50"/>
      <c r="D33" s="12" t="s">
        <v>90</v>
      </c>
      <c r="E33" s="14">
        <f t="shared" si="2"/>
        <v>2019</v>
      </c>
      <c r="F33" s="22"/>
      <c r="H33" s="7"/>
    </row>
    <row r="34" spans="1:8" x14ac:dyDescent="0.25">
      <c r="A34" s="78"/>
      <c r="B34" s="50"/>
      <c r="C34" s="50"/>
      <c r="D34" s="12" t="s">
        <v>91</v>
      </c>
      <c r="E34" s="14">
        <f t="shared" si="2"/>
        <v>2019</v>
      </c>
      <c r="F34" s="22"/>
      <c r="H34" s="7"/>
    </row>
    <row r="35" spans="1:8" x14ac:dyDescent="0.25">
      <c r="A35" s="78"/>
      <c r="B35" s="50"/>
      <c r="C35" s="50"/>
      <c r="D35" s="12" t="s">
        <v>92</v>
      </c>
      <c r="E35" s="4">
        <f t="shared" ref="E35:E37" si="3">$E$2-2</f>
        <v>2020</v>
      </c>
      <c r="F35" s="22"/>
      <c r="H35" s="7"/>
    </row>
    <row r="36" spans="1:8" x14ac:dyDescent="0.25">
      <c r="A36" s="78"/>
      <c r="B36" s="50"/>
      <c r="C36" s="50"/>
      <c r="D36" s="12" t="s">
        <v>93</v>
      </c>
      <c r="E36" s="4">
        <f t="shared" si="3"/>
        <v>2020</v>
      </c>
      <c r="F36" s="22"/>
      <c r="H36" s="7"/>
    </row>
    <row r="37" spans="1:8" x14ac:dyDescent="0.25">
      <c r="A37" s="78"/>
      <c r="B37" s="50"/>
      <c r="C37" s="50"/>
      <c r="D37" s="12" t="s">
        <v>94</v>
      </c>
      <c r="E37" s="4">
        <f t="shared" si="3"/>
        <v>2020</v>
      </c>
      <c r="F37" s="22"/>
      <c r="H37" s="7"/>
    </row>
    <row r="38" spans="1:8" x14ac:dyDescent="0.25">
      <c r="A38" s="82" t="s">
        <v>123</v>
      </c>
      <c r="B38" s="51"/>
      <c r="C38" s="51" t="s">
        <v>120</v>
      </c>
      <c r="D38" s="13" t="s">
        <v>37</v>
      </c>
      <c r="E38" s="5"/>
      <c r="F38" s="1">
        <f>IFERROR(IF((F39+0.25*F40+0.1*F41)/(F22+0.25*F23+0.1*F24)&gt;=0.5,1,IF((F39+0.25*F40+0.1*F41)/(F22+0.25*F23+0.1*F24)&lt;=0,0,(F39+0.25*F40+0.1*F41)/(F22+0.25*F23+0.1*F24)/0.5))*G38,G38/3)</f>
        <v>0</v>
      </c>
      <c r="G38" s="1">
        <f>IF(OR(Главная!AE14=E3,Главная!AE15=E3,Главная!AE16=E3,Главная!AE17=E3,Главная!AE22=E3),6,9)</f>
        <v>9</v>
      </c>
      <c r="H38" s="7">
        <f t="shared" si="0"/>
        <v>0</v>
      </c>
    </row>
    <row r="39" spans="1:8" x14ac:dyDescent="0.25">
      <c r="A39" s="82"/>
      <c r="B39" s="52"/>
      <c r="C39" s="52"/>
      <c r="D39" s="12" t="s">
        <v>121</v>
      </c>
      <c r="E39" s="4">
        <f t="shared" si="1"/>
        <v>2020</v>
      </c>
      <c r="F39" s="22">
        <v>0</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5</v>
      </c>
      <c r="G52" s="1">
        <v>5</v>
      </c>
      <c r="H52" s="7">
        <f t="shared" si="0"/>
        <v>1</v>
      </c>
    </row>
    <row r="53" spans="1:8" x14ac:dyDescent="0.25">
      <c r="A53" s="84"/>
      <c r="B53" s="52"/>
      <c r="C53" s="52"/>
      <c r="D53" s="12" t="s">
        <v>131</v>
      </c>
      <c r="E53" s="8" t="str">
        <f>"на 01.10."&amp;$E$2-3</f>
        <v>на 01.10.2019</v>
      </c>
      <c r="F53" s="22">
        <v>12</v>
      </c>
      <c r="H53" s="7"/>
    </row>
    <row r="54" spans="1:8" x14ac:dyDescent="0.25">
      <c r="A54" s="84"/>
      <c r="B54" s="52"/>
      <c r="C54" s="52"/>
      <c r="D54" s="12" t="s">
        <v>132</v>
      </c>
      <c r="E54" s="4" t="str">
        <f>"на 01.10."&amp;$E$2-2</f>
        <v>на 01.10.2020</v>
      </c>
      <c r="F54" s="22">
        <v>11</v>
      </c>
      <c r="H54" s="7"/>
    </row>
    <row r="55" spans="1:8" ht="15" customHeight="1" x14ac:dyDescent="0.25">
      <c r="A55" s="88" t="s">
        <v>59</v>
      </c>
      <c r="B55" s="91" t="s">
        <v>140</v>
      </c>
      <c r="C55" s="11" t="s">
        <v>134</v>
      </c>
      <c r="D55" s="13" t="s">
        <v>53</v>
      </c>
      <c r="E55" s="5"/>
      <c r="F55" s="1">
        <f>IFERROR(IF((F62/(F56+F59)+F63/(F57+F60)+F64/(F58+F61))/3*100&lt;=5,0,IF((F62/(F56+F59)+F63/(F57+F60)+F64/(F58+F61))/3*100&gt;=100,1,((F62/(F56+F59)+F63/(F57+F60)+F64/(F58+F61))/3*100-5)/95))*G55,"")</f>
        <v>0</v>
      </c>
      <c r="G55" s="1">
        <f>IF(OR(Главная!AE13=E3,Главная!AE14=E3,Главная!AE15=E3,Главная!AE21=E3,Главная!AE22=E3),8,0)</f>
        <v>0</v>
      </c>
      <c r="H55" s="7" t="e">
        <f t="shared" si="0"/>
        <v>#DIV/0!</v>
      </c>
    </row>
    <row r="56" spans="1:8" x14ac:dyDescent="0.25">
      <c r="A56" s="88"/>
      <c r="B56" s="92"/>
      <c r="C56" s="9"/>
      <c r="D56" s="12" t="s">
        <v>54</v>
      </c>
      <c r="E56" s="8">
        <f>$E$2-5</f>
        <v>2017</v>
      </c>
      <c r="F56" s="38">
        <v>1051.2</v>
      </c>
      <c r="H56" s="7"/>
    </row>
    <row r="57" spans="1:8" x14ac:dyDescent="0.25">
      <c r="A57" s="88"/>
      <c r="B57" s="92"/>
      <c r="C57" s="9"/>
      <c r="D57" s="12" t="s">
        <v>54</v>
      </c>
      <c r="E57" s="8">
        <f>$E$2-4</f>
        <v>2018</v>
      </c>
      <c r="F57" s="38">
        <v>1047.5</v>
      </c>
      <c r="H57" s="7"/>
    </row>
    <row r="58" spans="1:8" x14ac:dyDescent="0.25">
      <c r="A58" s="88"/>
      <c r="B58" s="92"/>
      <c r="C58" s="9"/>
      <c r="D58" s="12" t="s">
        <v>54</v>
      </c>
      <c r="E58" s="8">
        <f>$E$2-3</f>
        <v>2019</v>
      </c>
      <c r="F58" s="38">
        <v>1059.5</v>
      </c>
      <c r="H58" s="7"/>
    </row>
    <row r="59" spans="1:8" x14ac:dyDescent="0.25">
      <c r="A59" s="88"/>
      <c r="B59" s="92"/>
      <c r="C59" s="9"/>
      <c r="D59" s="12" t="s">
        <v>55</v>
      </c>
      <c r="E59" s="8">
        <f>$E$2-5</f>
        <v>2017</v>
      </c>
      <c r="F59" s="38">
        <v>56.2</v>
      </c>
      <c r="H59" s="7"/>
    </row>
    <row r="60" spans="1:8" x14ac:dyDescent="0.25">
      <c r="A60" s="88"/>
      <c r="B60" s="92"/>
      <c r="C60" s="9"/>
      <c r="D60" s="12" t="s">
        <v>55</v>
      </c>
      <c r="E60" s="8">
        <f>$E$2-4</f>
        <v>2018</v>
      </c>
      <c r="F60" s="38">
        <v>54.6</v>
      </c>
      <c r="H60" s="7"/>
    </row>
    <row r="61" spans="1:8" x14ac:dyDescent="0.25">
      <c r="A61" s="88"/>
      <c r="B61" s="92"/>
      <c r="C61" s="9"/>
      <c r="D61" s="12" t="s">
        <v>55</v>
      </c>
      <c r="E61" s="8">
        <f>$E$2-3</f>
        <v>2019</v>
      </c>
      <c r="F61" s="38">
        <v>56.5</v>
      </c>
      <c r="H61" s="7"/>
    </row>
    <row r="62" spans="1:8" x14ac:dyDescent="0.25">
      <c r="A62" s="88"/>
      <c r="B62" s="92"/>
      <c r="C62" s="9"/>
      <c r="D62" s="12" t="s">
        <v>56</v>
      </c>
      <c r="E62" s="8">
        <f>$E$2-5</f>
        <v>2017</v>
      </c>
      <c r="F62" s="38">
        <v>380</v>
      </c>
      <c r="H62" s="7"/>
    </row>
    <row r="63" spans="1:8" x14ac:dyDescent="0.25">
      <c r="A63" s="88"/>
      <c r="B63" s="92"/>
      <c r="C63" s="9"/>
      <c r="D63" s="12" t="s">
        <v>56</v>
      </c>
      <c r="E63" s="8">
        <f>$E$2-4</f>
        <v>2018</v>
      </c>
      <c r="F63" s="38">
        <v>830</v>
      </c>
      <c r="H63" s="7"/>
    </row>
    <row r="64" spans="1:8" x14ac:dyDescent="0.25">
      <c r="A64" s="88"/>
      <c r="B64" s="92"/>
      <c r="C64" s="9"/>
      <c r="D64" s="12" t="s">
        <v>56</v>
      </c>
      <c r="E64" s="8">
        <f>$E$2-3</f>
        <v>2019</v>
      </c>
      <c r="F64" s="38">
        <v>1149</v>
      </c>
      <c r="H64" s="7"/>
    </row>
    <row r="65" spans="1:8" x14ac:dyDescent="0.25">
      <c r="A65" s="87" t="s">
        <v>79</v>
      </c>
      <c r="B65" s="92"/>
      <c r="C65" s="11" t="s">
        <v>135</v>
      </c>
      <c r="D65" s="35" t="s">
        <v>57</v>
      </c>
      <c r="E65" s="36"/>
      <c r="F65" s="1">
        <f>IFERROR(IF((F66/(F56+F59)+F67/(F57+F60)+F68/(F58+F61))/3&lt;=100,0,IF((F66/(F56+F59)+F67/(F57+F60)+F68/(F58+F61))/3&gt;=1000,1,((F66/(F56+F59)+F67/(F57+F60)+F68/(F58+F61))/3-100)/900))*G65," ")</f>
        <v>0</v>
      </c>
      <c r="G65" s="1">
        <f>IF(OR(Главная!AE16=E3,Главная!AE17=E3,Главная!AE19=E3),10,IF(OR(Главная!AE13=E3,Главная!AE14=E3,Главная!AE15=E3,Главная!AE21=E3,Главная!AE22=E3),8,0))</f>
        <v>0</v>
      </c>
      <c r="H65" s="7" t="e">
        <f t="shared" si="0"/>
        <v>#DIV/0!</v>
      </c>
    </row>
    <row r="66" spans="1:8" x14ac:dyDescent="0.25">
      <c r="A66" s="87"/>
      <c r="B66" s="92"/>
      <c r="C66" s="9"/>
      <c r="D66" s="37" t="s">
        <v>161</v>
      </c>
      <c r="E66" s="8">
        <v>2017</v>
      </c>
      <c r="F66" s="38">
        <v>265431.7</v>
      </c>
      <c r="H66" s="7"/>
    </row>
    <row r="67" spans="1:8" x14ac:dyDescent="0.25">
      <c r="A67" s="87"/>
      <c r="B67" s="92"/>
      <c r="C67" s="9"/>
      <c r="D67" s="37" t="s">
        <v>161</v>
      </c>
      <c r="E67" s="8">
        <v>2018</v>
      </c>
      <c r="F67" s="38">
        <v>382808.6</v>
      </c>
      <c r="H67" s="7"/>
    </row>
    <row r="68" spans="1:8"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6.1322199921550755</v>
      </c>
      <c r="G69" s="1">
        <f>IF(OR(Главная!AE16=E3,Главная!AE17=E3,Главная!AE19=E3),10,IF(OR(Главная!AE13=E3,Главная!AE14=E3,Главная!AE15=E3,Главная!AE21=E3,Главная!AE22=E3),7,15))</f>
        <v>15</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14.431445813500748</v>
      </c>
      <c r="G76" s="1">
        <f>IF(OR(Главная!AE16=E3,Главная!AE17=E3,Главная!AE19=E3),10,IF(OR(Главная!AE13=E3,Главная!AE14=E3,Главная!AE15=E3,Главная!AE21=E3,Главная!AE22=E3),7,15))</f>
        <v>15</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63.141056629315308</v>
      </c>
      <c r="G89" s="1">
        <v>100</v>
      </c>
      <c r="H89" s="7">
        <f t="shared" ref="H89" si="5">F89/G89</f>
        <v>0.63141056629315306</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row r="94" spans="1:8" x14ac:dyDescent="0.25">
      <c r="C94" s="11" t="s">
        <v>96</v>
      </c>
      <c r="D94" s="86" t="s">
        <v>97</v>
      </c>
      <c r="E94" s="86"/>
      <c r="F94" s="86"/>
      <c r="G94" s="11"/>
      <c r="H94" s="7"/>
    </row>
    <row r="95" spans="1:8" x14ac:dyDescent="0.25">
      <c r="C95" s="9"/>
      <c r="D95" s="26" t="s">
        <v>124</v>
      </c>
      <c r="E95" s="65" t="s">
        <v>230</v>
      </c>
      <c r="F95" s="24">
        <f>20/3*2</f>
        <v>13.333333333333334</v>
      </c>
      <c r="G95" s="23"/>
      <c r="H95" s="7" t="e">
        <f t="shared" ref="H95:H99" si="7">F95/G95</f>
        <v>#DIV/0!</v>
      </c>
    </row>
    <row r="96" spans="1:8" x14ac:dyDescent="0.25">
      <c r="C96" s="9"/>
      <c r="D96" s="28"/>
      <c r="E96" s="27"/>
      <c r="F96" s="25"/>
      <c r="G96" s="23"/>
      <c r="H96" s="7" t="e">
        <f t="shared" si="7"/>
        <v>#DIV/0!</v>
      </c>
    </row>
    <row r="97" spans="3:8" x14ac:dyDescent="0.25">
      <c r="C97" s="9"/>
      <c r="D97" s="28"/>
      <c r="E97" s="27"/>
      <c r="F97" s="25"/>
      <c r="G97" s="23"/>
      <c r="H97" s="7" t="e">
        <f t="shared" si="7"/>
        <v>#DIV/0!</v>
      </c>
    </row>
    <row r="98" spans="3:8" x14ac:dyDescent="0.25">
      <c r="C98" s="9"/>
      <c r="D98" s="28"/>
      <c r="E98" s="27"/>
      <c r="F98" s="25"/>
      <c r="G98" s="23"/>
      <c r="H98" s="7" t="e">
        <f t="shared" si="7"/>
        <v>#DIV/0!</v>
      </c>
    </row>
    <row r="99" spans="3:8" x14ac:dyDescent="0.25">
      <c r="C99" s="9"/>
      <c r="D99" s="28"/>
      <c r="E99" s="27"/>
      <c r="F99" s="25"/>
      <c r="G99" s="23"/>
      <c r="H99" s="7" t="e">
        <f t="shared" si="7"/>
        <v>#DIV/0!</v>
      </c>
    </row>
  </sheetData>
  <mergeCells count="18">
    <mergeCell ref="A65:A68"/>
    <mergeCell ref="A69:A75"/>
    <mergeCell ref="A7:A9"/>
    <mergeCell ref="A10:A12"/>
    <mergeCell ref="A13:A14"/>
    <mergeCell ref="B55:B88"/>
    <mergeCell ref="D94:F94"/>
    <mergeCell ref="A15:A17"/>
    <mergeCell ref="A18:A20"/>
    <mergeCell ref="A21:A27"/>
    <mergeCell ref="A28:A32"/>
    <mergeCell ref="A33:A37"/>
    <mergeCell ref="A76:A88"/>
    <mergeCell ref="A89:A92"/>
    <mergeCell ref="A38:A41"/>
    <mergeCell ref="A42:A51"/>
    <mergeCell ref="A52:A54"/>
    <mergeCell ref="A55:A64"/>
  </mergeCells>
  <conditionalFormatting sqref="H1:H2 H4:H28 H38:H76">
    <cfRule type="iconSet" priority="8">
      <iconSet>
        <cfvo type="percent" val="0"/>
        <cfvo type="percent" val="33"/>
        <cfvo type="percent" val="67"/>
      </iconSet>
    </cfRule>
  </conditionalFormatting>
  <conditionalFormatting sqref="H89:H92">
    <cfRule type="iconSet" priority="7">
      <iconSet>
        <cfvo type="percent" val="0"/>
        <cfvo type="percent" val="33"/>
        <cfvo type="percent" val="67"/>
      </iconSet>
    </cfRule>
  </conditionalFormatting>
  <conditionalFormatting sqref="H94:H99">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conditionalFormatting sqref="F7">
    <cfRule type="expression" dxfId="3" priority="3">
      <formula>$F$7*3=$G$7</formula>
    </cfRule>
  </conditionalFormatting>
  <conditionalFormatting sqref="F1:F28 F38:F1048576">
    <cfRule type="expression" priority="1">
      <formula>$F:$F*3=$G:$G</formula>
    </cfRule>
    <cfRule type="expression" priority="2">
      <formula>$F$7*3=$G$7</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Главная!$AE$13:$AE$22</xm:f>
          </x14:formula1>
          <xm:sqref>E3</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4">
    <tabColor rgb="FF0070C0"/>
  </sheetPr>
  <dimension ref="A1:H92"/>
  <sheetViews>
    <sheetView topLeftCell="A46" workbookViewId="0">
      <selection activeCell="F21" sqref="F21"/>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244</v>
      </c>
    </row>
    <row r="4" spans="1:8" x14ac:dyDescent="0.25">
      <c r="A4" t="s">
        <v>81</v>
      </c>
      <c r="D4" s="12" t="s">
        <v>75</v>
      </c>
      <c r="E4" s="10">
        <f>F89</f>
        <v>34.834472614067955</v>
      </c>
      <c r="F4" t="s">
        <v>138</v>
      </c>
    </row>
    <row r="5" spans="1:8" x14ac:dyDescent="0.25">
      <c r="D5" s="12"/>
      <c r="E5" s="4"/>
    </row>
    <row r="6" spans="1:8" x14ac:dyDescent="0.25">
      <c r="A6" t="s">
        <v>7</v>
      </c>
      <c r="D6" s="12" t="s">
        <v>25</v>
      </c>
      <c r="E6" s="4" t="s">
        <v>21</v>
      </c>
      <c r="G6" t="s">
        <v>20</v>
      </c>
      <c r="H6" t="s">
        <v>42</v>
      </c>
    </row>
    <row r="7" spans="1:8" x14ac:dyDescent="0.25">
      <c r="A7" s="78" t="s">
        <v>104</v>
      </c>
      <c r="B7" s="50"/>
      <c r="C7" s="49" t="s">
        <v>98</v>
      </c>
      <c r="D7" s="13" t="s">
        <v>99</v>
      </c>
      <c r="E7" s="5"/>
      <c r="F7" s="1">
        <f>IFERROR(IF(F9/F8&lt;=0.1,0,IF(F9/F8&gt;=0.5,1,(F9/F8-0.1)/0.4))*G7,G7/3)</f>
        <v>3.3333333333333335</v>
      </c>
      <c r="G7" s="2">
        <v>10</v>
      </c>
      <c r="H7" s="7">
        <f>F7/G7</f>
        <v>0.33333333333333337</v>
      </c>
    </row>
    <row r="8" spans="1:8" x14ac:dyDescent="0.25">
      <c r="A8" s="78"/>
      <c r="B8" s="50"/>
      <c r="C8" s="50"/>
      <c r="D8" s="12" t="s">
        <v>100</v>
      </c>
      <c r="E8" s="4">
        <f>$E$2-2</f>
        <v>2020</v>
      </c>
      <c r="F8" s="22">
        <v>0</v>
      </c>
      <c r="H8" s="7"/>
    </row>
    <row r="9" spans="1:8" x14ac:dyDescent="0.25">
      <c r="A9" s="78"/>
      <c r="B9" s="50"/>
      <c r="C9" s="49"/>
      <c r="D9" s="19" t="s">
        <v>101</v>
      </c>
      <c r="E9" s="4">
        <f>$E$2-2</f>
        <v>2020</v>
      </c>
      <c r="F9" s="39">
        <v>0</v>
      </c>
      <c r="G9" s="20"/>
      <c r="H9" s="7"/>
    </row>
    <row r="10" spans="1:8" x14ac:dyDescent="0.25">
      <c r="A10" s="82" t="s">
        <v>235</v>
      </c>
      <c r="B10" s="52"/>
      <c r="C10" s="51" t="s">
        <v>103</v>
      </c>
      <c r="D10" s="1" t="s">
        <v>102</v>
      </c>
      <c r="F10" s="1">
        <f>IFERROR(IF(F11/F12&lt;=1.5,0,IF(F11/F12&gt;=10,1,(F11/F12-1.5)/8.5))*G10,G10/3)</f>
        <v>1.6666666666666667</v>
      </c>
      <c r="G10" s="1">
        <v>5</v>
      </c>
      <c r="H10" s="7">
        <f t="shared" ref="H10:H76" si="0">F10/G10</f>
        <v>0.33333333333333337</v>
      </c>
    </row>
    <row r="11" spans="1:8" x14ac:dyDescent="0.25">
      <c r="A11" s="82"/>
      <c r="B11" s="52"/>
      <c r="C11" s="52"/>
      <c r="D11" t="s">
        <v>105</v>
      </c>
      <c r="E11" s="4">
        <f>$E$2-2</f>
        <v>2020</v>
      </c>
      <c r="F11" s="22">
        <v>0</v>
      </c>
      <c r="H11" s="7"/>
    </row>
    <row r="12" spans="1:8" x14ac:dyDescent="0.25">
      <c r="A12" s="82"/>
      <c r="B12" s="52"/>
      <c r="C12" s="52"/>
      <c r="D12" t="s">
        <v>109</v>
      </c>
      <c r="E12" s="4">
        <f>$E$2-2</f>
        <v>2020</v>
      </c>
      <c r="F12" s="22">
        <v>0</v>
      </c>
      <c r="H12" s="7"/>
    </row>
    <row r="13" spans="1:8" x14ac:dyDescent="0.25">
      <c r="A13" s="78" t="s">
        <v>111</v>
      </c>
      <c r="B13" s="50"/>
      <c r="C13" s="49" t="s">
        <v>107</v>
      </c>
      <c r="D13" s="1" t="s">
        <v>108</v>
      </c>
      <c r="E13" s="1"/>
      <c r="F13" s="1">
        <f>IFERROR(IF(F14/F12&lt;=0,0,IF(F14/F12&gt;=0.25,1,F14/F12/0.25))*G13,G13/3)</f>
        <v>1.6666666666666667</v>
      </c>
      <c r="G13" s="1">
        <v>5</v>
      </c>
      <c r="H13" s="7">
        <f t="shared" si="0"/>
        <v>0.33333333333333337</v>
      </c>
    </row>
    <row r="14" spans="1:8" x14ac:dyDescent="0.25">
      <c r="A14" s="78"/>
      <c r="B14" s="50"/>
      <c r="C14" s="50"/>
      <c r="D14" t="s">
        <v>110</v>
      </c>
      <c r="E14" s="4">
        <f>$E$2-2</f>
        <v>2020</v>
      </c>
      <c r="F14" s="22">
        <v>0</v>
      </c>
      <c r="H14" s="7"/>
    </row>
    <row r="15" spans="1:8" x14ac:dyDescent="0.25">
      <c r="A15" s="82" t="s">
        <v>115</v>
      </c>
      <c r="B15" s="66"/>
      <c r="C15" s="67" t="s">
        <v>112</v>
      </c>
      <c r="D15" s="1" t="s">
        <v>2</v>
      </c>
      <c r="E15" s="63"/>
      <c r="F15" s="11">
        <f>IFERROR(IF(F16/F17*100&lt;=80,0,IF(F16/F17*100&gt;=100,1,(F16/F17*100-80)/20))*G15,G15/3)</f>
        <v>1.6666666666666667</v>
      </c>
      <c r="G15" s="1">
        <v>5</v>
      </c>
      <c r="H15" s="7">
        <f t="shared" si="0"/>
        <v>0.33333333333333337</v>
      </c>
    </row>
    <row r="16" spans="1:8" x14ac:dyDescent="0.25">
      <c r="A16" s="82"/>
      <c r="B16" s="66"/>
      <c r="C16" s="66"/>
      <c r="D16" t="s">
        <v>113</v>
      </c>
      <c r="E16" s="4" t="str">
        <f>$E$2-2&amp;" "&amp;$E$2-3&amp;" "&amp;$E$2-4</f>
        <v>2020 2019 2018</v>
      </c>
      <c r="F16" s="22">
        <v>0</v>
      </c>
      <c r="H16" s="7"/>
    </row>
    <row r="17" spans="1:8" x14ac:dyDescent="0.25">
      <c r="A17" s="82"/>
      <c r="B17" s="66"/>
      <c r="C17" s="66"/>
      <c r="D17" t="s">
        <v>114</v>
      </c>
      <c r="E17" s="4" t="str">
        <f>$E$2-2&amp;" "&amp;$E$2-3&amp;" "&amp;$E$2-4</f>
        <v>2020 2019 2018</v>
      </c>
      <c r="F17" s="22">
        <v>0</v>
      </c>
      <c r="H17" s="7"/>
    </row>
    <row r="18" spans="1:8" x14ac:dyDescent="0.25">
      <c r="A18" s="78" t="s">
        <v>17</v>
      </c>
      <c r="B18" s="50"/>
      <c r="C18" s="49" t="s">
        <v>116</v>
      </c>
      <c r="D18" s="13" t="s">
        <v>14</v>
      </c>
      <c r="E18" s="5"/>
      <c r="F18" s="1">
        <f>IFERROR(IF(F19/F20&gt;=1,1,IF(F19/F20&lt;=0,0,(F19/F20)))*G18,G18/3)</f>
        <v>0.66666666666666663</v>
      </c>
      <c r="G18" s="1">
        <v>2</v>
      </c>
      <c r="H18" s="7">
        <f t="shared" si="0"/>
        <v>0.33333333333333331</v>
      </c>
    </row>
    <row r="19" spans="1:8" x14ac:dyDescent="0.25">
      <c r="A19" s="78"/>
      <c r="B19" s="50"/>
      <c r="C19" s="50"/>
      <c r="D19" s="12" t="s">
        <v>15</v>
      </c>
      <c r="E19" s="4">
        <f>$E$2-2</f>
        <v>2020</v>
      </c>
      <c r="F19" s="22">
        <v>0</v>
      </c>
      <c r="H19" s="7"/>
    </row>
    <row r="20" spans="1:8" x14ac:dyDescent="0.25">
      <c r="A20" s="78"/>
      <c r="B20" s="50"/>
      <c r="C20" s="50"/>
      <c r="D20" s="12" t="s">
        <v>16</v>
      </c>
      <c r="E20" s="4">
        <f>$E$2-2</f>
        <v>2020</v>
      </c>
      <c r="F20" s="22">
        <v>0</v>
      </c>
      <c r="H20" s="7"/>
    </row>
    <row r="21" spans="1:8" x14ac:dyDescent="0.25">
      <c r="A21" s="84" t="s">
        <v>119</v>
      </c>
      <c r="B21" s="52"/>
      <c r="C21" s="51" t="s">
        <v>118</v>
      </c>
      <c r="D21" s="13" t="s">
        <v>117</v>
      </c>
      <c r="E21" s="1"/>
      <c r="F21" s="1">
        <f>IFERROR(IF((F25+0.25*F26+0.1*F27)/(F22+0.25*F23+0.1*F24)&gt;=0.25,1,IF((F25+0.25*F26+0.1*F27)/(F22+0.25*F23+0.1*F24)&lt;=0,0,(F25+0.25*F26+0.1*F27)/(F22+0.25*F23+0.1*F24)/0.25))*G21,G21/3)</f>
        <v>2</v>
      </c>
      <c r="G21" s="1">
        <v>6</v>
      </c>
      <c r="H21" s="7">
        <f t="shared" si="0"/>
        <v>0.33333333333333331</v>
      </c>
    </row>
    <row r="22" spans="1:8" x14ac:dyDescent="0.25">
      <c r="A22" s="84"/>
      <c r="B22" s="52"/>
      <c r="C22" s="52"/>
      <c r="D22" s="12" t="s">
        <v>27</v>
      </c>
      <c r="E22" s="4">
        <f t="shared" ref="E22:E41" si="1">$E$2-2</f>
        <v>2020</v>
      </c>
      <c r="F22" s="22">
        <v>0</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0</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0</v>
      </c>
      <c r="H27" s="7"/>
    </row>
    <row r="28" spans="1:8"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2</v>
      </c>
      <c r="G28" s="1">
        <v>6</v>
      </c>
      <c r="H28" s="7">
        <f t="shared" si="0"/>
        <v>0.33333333333333331</v>
      </c>
    </row>
    <row r="29" spans="1:8" x14ac:dyDescent="0.25">
      <c r="A29" s="78"/>
      <c r="B29" s="50"/>
      <c r="C29" s="50"/>
      <c r="D29" s="12" t="s">
        <v>86</v>
      </c>
      <c r="E29" s="14">
        <f>$E$2-3</f>
        <v>2019</v>
      </c>
      <c r="F29" s="22">
        <v>0</v>
      </c>
      <c r="H29" s="7"/>
    </row>
    <row r="30" spans="1:8" x14ac:dyDescent="0.25">
      <c r="A30" s="78"/>
      <c r="B30" s="50"/>
      <c r="C30" s="50"/>
      <c r="D30" s="12" t="s">
        <v>87</v>
      </c>
      <c r="E30" s="14">
        <f t="shared" ref="E30:E34" si="2">$E$2-3</f>
        <v>2019</v>
      </c>
      <c r="F30" s="22">
        <v>0</v>
      </c>
      <c r="H30" s="7"/>
    </row>
    <row r="31" spans="1:8" x14ac:dyDescent="0.25">
      <c r="A31" s="78"/>
      <c r="B31" s="50"/>
      <c r="C31" s="50"/>
      <c r="D31" s="12" t="s">
        <v>88</v>
      </c>
      <c r="E31" s="14">
        <f t="shared" si="2"/>
        <v>2019</v>
      </c>
      <c r="F31" s="22">
        <v>0</v>
      </c>
      <c r="H31" s="7"/>
    </row>
    <row r="32" spans="1:8" x14ac:dyDescent="0.25">
      <c r="A32" s="78"/>
      <c r="B32" s="50"/>
      <c r="C32" s="50"/>
      <c r="D32" s="12" t="s">
        <v>89</v>
      </c>
      <c r="E32" s="14">
        <f t="shared" si="2"/>
        <v>2019</v>
      </c>
      <c r="F32" s="22">
        <v>0</v>
      </c>
      <c r="H32" s="7"/>
    </row>
    <row r="33" spans="1:8" x14ac:dyDescent="0.25">
      <c r="A33" s="78" t="s">
        <v>142</v>
      </c>
      <c r="B33" s="50"/>
      <c r="C33" s="50"/>
      <c r="D33" s="12" t="s">
        <v>90</v>
      </c>
      <c r="E33" s="14">
        <f t="shared" si="2"/>
        <v>2019</v>
      </c>
      <c r="F33" s="22">
        <v>0</v>
      </c>
      <c r="H33" s="7"/>
    </row>
    <row r="34" spans="1:8" x14ac:dyDescent="0.25">
      <c r="A34" s="78"/>
      <c r="B34" s="50"/>
      <c r="C34" s="50"/>
      <c r="D34" s="12" t="s">
        <v>91</v>
      </c>
      <c r="E34" s="14">
        <f t="shared" si="2"/>
        <v>2019</v>
      </c>
      <c r="F34" s="22">
        <v>0</v>
      </c>
      <c r="H34" s="7"/>
    </row>
    <row r="35" spans="1:8" x14ac:dyDescent="0.25">
      <c r="A35" s="78"/>
      <c r="B35" s="50"/>
      <c r="C35" s="50"/>
      <c r="D35" s="12" t="s">
        <v>92</v>
      </c>
      <c r="E35" s="4">
        <f t="shared" ref="E35:E37" si="3">$E$2-2</f>
        <v>2020</v>
      </c>
      <c r="F35" s="22">
        <v>0</v>
      </c>
      <c r="H35" s="7"/>
    </row>
    <row r="36" spans="1:8" x14ac:dyDescent="0.25">
      <c r="A36" s="78"/>
      <c r="B36" s="50"/>
      <c r="C36" s="50"/>
      <c r="D36" s="12" t="s">
        <v>93</v>
      </c>
      <c r="E36" s="4">
        <f t="shared" si="3"/>
        <v>2020</v>
      </c>
      <c r="F36" s="22">
        <v>0</v>
      </c>
      <c r="H36" s="7"/>
    </row>
    <row r="37" spans="1:8" x14ac:dyDescent="0.25">
      <c r="A37" s="78"/>
      <c r="B37" s="50"/>
      <c r="C37" s="50"/>
      <c r="D37" s="12" t="s">
        <v>94</v>
      </c>
      <c r="E37" s="4">
        <f t="shared" si="3"/>
        <v>2020</v>
      </c>
      <c r="F37" s="22">
        <v>0</v>
      </c>
      <c r="H37" s="7"/>
    </row>
    <row r="38" spans="1:8" x14ac:dyDescent="0.25">
      <c r="A38" s="82" t="s">
        <v>123</v>
      </c>
      <c r="B38" s="51"/>
      <c r="C38" s="51" t="s">
        <v>120</v>
      </c>
      <c r="D38" s="13" t="s">
        <v>37</v>
      </c>
      <c r="E38" s="5"/>
      <c r="F38" s="1">
        <f>IFERROR(IF((F39+0.25*F40+0.1*F41)/(F22+0.25*F23+0.1*F24)&gt;=0.5,1,IF((F39+0.25*F40+0.1*F41)/(F22+0.25*F23+0.1*F24)&lt;=0,0,(F39+0.25*F40+0.1*F41)/(F22+0.25*F23+0.1*F24)/0.5))*G38,G38/3)</f>
        <v>2</v>
      </c>
      <c r="G38" s="1">
        <v>6</v>
      </c>
      <c r="H38" s="7">
        <f t="shared" si="0"/>
        <v>0.33333333333333331</v>
      </c>
    </row>
    <row r="39" spans="1:8" x14ac:dyDescent="0.25">
      <c r="A39" s="82"/>
      <c r="B39" s="52"/>
      <c r="C39" s="52"/>
      <c r="D39" s="12" t="s">
        <v>121</v>
      </c>
      <c r="E39" s="4">
        <f t="shared" si="1"/>
        <v>2020</v>
      </c>
      <c r="F39" s="22">
        <v>0</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3.5714285714285712</v>
      </c>
      <c r="G52" s="1">
        <v>5</v>
      </c>
      <c r="H52" s="7">
        <f t="shared" si="0"/>
        <v>0.71428571428571419</v>
      </c>
    </row>
    <row r="53" spans="1:8" x14ac:dyDescent="0.25">
      <c r="A53" s="84"/>
      <c r="B53" s="52"/>
      <c r="C53" s="52"/>
      <c r="D53" s="12" t="s">
        <v>131</v>
      </c>
      <c r="E53" s="8" t="str">
        <f>"на 01.10."&amp;$E$2-3</f>
        <v>на 01.10.2019</v>
      </c>
      <c r="F53" s="22">
        <v>35</v>
      </c>
      <c r="H53" s="7"/>
    </row>
    <row r="54" spans="1:8" x14ac:dyDescent="0.25">
      <c r="A54" s="84"/>
      <c r="B54" s="52"/>
      <c r="C54" s="52"/>
      <c r="D54" s="12" t="s">
        <v>132</v>
      </c>
      <c r="E54" s="4" t="str">
        <f>"на 01.10."&amp;$E$2-2</f>
        <v>на 01.10.2020</v>
      </c>
      <c r="F54" s="22">
        <v>23</v>
      </c>
      <c r="H54" s="7"/>
    </row>
    <row r="55" spans="1:8" hidden="1" x14ac:dyDescent="0.25">
      <c r="A55" s="88" t="s">
        <v>59</v>
      </c>
      <c r="B55" s="91" t="s">
        <v>140</v>
      </c>
      <c r="C55" s="11" t="s">
        <v>134</v>
      </c>
      <c r="D55" s="13" t="s">
        <v>53</v>
      </c>
      <c r="E55" s="5"/>
      <c r="F55" s="1">
        <f>IFERROR(IF((F62/(F56+F59)+F63/(F57+F60)+F64/(F58+F61))/3*100&lt;=5,0,IF((F62/(F56+F59)+F63/(F57+F60)+F64/(F58+F61))/3*100&gt;=100,1,((F62/(F56+F59)+F63/(F57+F60)+F64/(F58+F61))/3*100-5)/95))*G55,"")</f>
        <v>0</v>
      </c>
      <c r="G55" s="1">
        <v>0</v>
      </c>
      <c r="H55" s="7" t="e">
        <f t="shared" si="0"/>
        <v>#DIV/0!</v>
      </c>
    </row>
    <row r="56" spans="1:8" hidden="1" x14ac:dyDescent="0.25">
      <c r="A56" s="88"/>
      <c r="B56" s="92"/>
      <c r="C56" s="9"/>
      <c r="D56" s="12" t="s">
        <v>54</v>
      </c>
      <c r="E56" s="8">
        <f>$E$2-5</f>
        <v>2017</v>
      </c>
      <c r="F56" s="38">
        <v>1051.2</v>
      </c>
      <c r="H56" s="7"/>
    </row>
    <row r="57" spans="1:8" hidden="1" x14ac:dyDescent="0.25">
      <c r="A57" s="88"/>
      <c r="B57" s="92"/>
      <c r="C57" s="9"/>
      <c r="D57" s="12" t="s">
        <v>54</v>
      </c>
      <c r="E57" s="8">
        <f>$E$2-4</f>
        <v>2018</v>
      </c>
      <c r="F57" s="38">
        <v>1047.5</v>
      </c>
      <c r="H57" s="7"/>
    </row>
    <row r="58" spans="1:8" hidden="1" x14ac:dyDescent="0.25">
      <c r="A58" s="88"/>
      <c r="B58" s="92"/>
      <c r="C58" s="9"/>
      <c r="D58" s="12" t="s">
        <v>54</v>
      </c>
      <c r="E58" s="8">
        <f>$E$2-3</f>
        <v>2019</v>
      </c>
      <c r="F58" s="38">
        <v>1059.5</v>
      </c>
      <c r="H58" s="7"/>
    </row>
    <row r="59" spans="1:8" hidden="1" x14ac:dyDescent="0.25">
      <c r="A59" s="88"/>
      <c r="B59" s="92"/>
      <c r="C59" s="9"/>
      <c r="D59" s="12" t="s">
        <v>55</v>
      </c>
      <c r="E59" s="8">
        <f>$E$2-5</f>
        <v>2017</v>
      </c>
      <c r="F59" s="38">
        <v>56.2</v>
      </c>
      <c r="H59" s="7"/>
    </row>
    <row r="60" spans="1:8" hidden="1" x14ac:dyDescent="0.25">
      <c r="A60" s="88"/>
      <c r="B60" s="92"/>
      <c r="C60" s="9"/>
      <c r="D60" s="12" t="s">
        <v>55</v>
      </c>
      <c r="E60" s="8">
        <f>$E$2-4</f>
        <v>2018</v>
      </c>
      <c r="F60" s="38">
        <v>54.6</v>
      </c>
      <c r="H60" s="7"/>
    </row>
    <row r="61" spans="1:8" hidden="1" x14ac:dyDescent="0.25">
      <c r="A61" s="88"/>
      <c r="B61" s="92"/>
      <c r="C61" s="9"/>
      <c r="D61" s="12" t="s">
        <v>55</v>
      </c>
      <c r="E61" s="8">
        <f>$E$2-3</f>
        <v>2019</v>
      </c>
      <c r="F61" s="38">
        <v>56.5</v>
      </c>
      <c r="H61" s="7"/>
    </row>
    <row r="62" spans="1:8" hidden="1" x14ac:dyDescent="0.25">
      <c r="A62" s="88"/>
      <c r="B62" s="92"/>
      <c r="C62" s="9"/>
      <c r="D62" s="12" t="s">
        <v>56</v>
      </c>
      <c r="E62" s="8">
        <f>$E$2-5</f>
        <v>2017</v>
      </c>
      <c r="F62" s="38">
        <v>380</v>
      </c>
      <c r="H62" s="7"/>
    </row>
    <row r="63" spans="1:8" hidden="1" x14ac:dyDescent="0.25">
      <c r="A63" s="88"/>
      <c r="B63" s="92"/>
      <c r="C63" s="9"/>
      <c r="D63" s="12" t="s">
        <v>56</v>
      </c>
      <c r="E63" s="8">
        <f>$E$2-4</f>
        <v>2018</v>
      </c>
      <c r="F63" s="38">
        <v>830</v>
      </c>
      <c r="H63" s="7"/>
    </row>
    <row r="64" spans="1:8" hidden="1" x14ac:dyDescent="0.25">
      <c r="A64" s="88"/>
      <c r="B64" s="92"/>
      <c r="C64" s="9"/>
      <c r="D64" s="12" t="s">
        <v>56</v>
      </c>
      <c r="E64" s="8">
        <f>$E$2-3</f>
        <v>2019</v>
      </c>
      <c r="F64" s="38">
        <v>1149</v>
      </c>
      <c r="H64" s="7"/>
    </row>
    <row r="65" spans="1:8" hidden="1" x14ac:dyDescent="0.25">
      <c r="A65" s="87" t="s">
        <v>79</v>
      </c>
      <c r="B65" s="92"/>
      <c r="C65" s="11" t="s">
        <v>135</v>
      </c>
      <c r="D65" s="35" t="s">
        <v>57</v>
      </c>
      <c r="E65" s="36"/>
      <c r="F65" s="1">
        <f>IFERROR(IF((F66/(F56+F59)+F67/(F57+F60)+F68/(F58+F61))/3&lt;=100,0,IF((F66/(F56+F59)+F67/(F57+F60)+F68/(F58+F61))/3&gt;=1000,1,((F66/(F56+F59)+F67/(F57+F60)+F68/(F58+F61))/3-100)/900))*G65," ")</f>
        <v>0</v>
      </c>
      <c r="G65" s="1">
        <v>0</v>
      </c>
      <c r="H65" s="7" t="e">
        <f t="shared" si="0"/>
        <v>#DIV/0!</v>
      </c>
    </row>
    <row r="66" spans="1:8" hidden="1" x14ac:dyDescent="0.25">
      <c r="A66" s="87"/>
      <c r="B66" s="92"/>
      <c r="C66" s="9"/>
      <c r="D66" s="37" t="s">
        <v>161</v>
      </c>
      <c r="E66" s="8">
        <v>2017</v>
      </c>
      <c r="F66" s="38">
        <v>265431.7</v>
      </c>
      <c r="H66" s="7"/>
    </row>
    <row r="67" spans="1:8" hidden="1" x14ac:dyDescent="0.25">
      <c r="A67" s="87"/>
      <c r="B67" s="92"/>
      <c r="C67" s="9"/>
      <c r="D67" s="37" t="s">
        <v>161</v>
      </c>
      <c r="E67" s="8">
        <v>2018</v>
      </c>
      <c r="F67" s="38">
        <v>382808.6</v>
      </c>
      <c r="H67" s="7"/>
    </row>
    <row r="68" spans="1:8" hidden="1"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2.8617026630057016</v>
      </c>
      <c r="G69" s="1">
        <v>7</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6.7346747129670161</v>
      </c>
      <c r="G76" s="1">
        <v>7</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34.834472614067955</v>
      </c>
      <c r="G89" s="1">
        <v>100</v>
      </c>
      <c r="H89" s="7">
        <f t="shared" ref="H89" si="5">F89/G89</f>
        <v>0.34834472614067957</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sheetData>
  <mergeCells count="17">
    <mergeCell ref="A21:A27"/>
    <mergeCell ref="A7:A9"/>
    <mergeCell ref="A10:A12"/>
    <mergeCell ref="A13:A14"/>
    <mergeCell ref="A15:A17"/>
    <mergeCell ref="A18:A20"/>
    <mergeCell ref="A28:A32"/>
    <mergeCell ref="A33:A37"/>
    <mergeCell ref="A38:A41"/>
    <mergeCell ref="A42:A51"/>
    <mergeCell ref="A52:A54"/>
    <mergeCell ref="B55:B88"/>
    <mergeCell ref="A65:A68"/>
    <mergeCell ref="A69:A75"/>
    <mergeCell ref="A76:A88"/>
    <mergeCell ref="A89:A92"/>
    <mergeCell ref="A55:A64"/>
  </mergeCells>
  <conditionalFormatting sqref="H1:H2 H4:H28 H38:H76">
    <cfRule type="iconSet" priority="7">
      <iconSet>
        <cfvo type="percent" val="0"/>
        <cfvo type="percent" val="33"/>
        <cfvo type="percent" val="67"/>
      </iconSet>
    </cfRule>
  </conditionalFormatting>
  <conditionalFormatting sqref="H89:H92">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3" id="{41531351-AC5B-4731-9425-BC4C00481A4F}">
            <xm:f>'01.04.00'!$F$7*3='01.04.00'!$G$7</xm:f>
            <x14:dxf>
              <fill>
                <patternFill>
                  <bgColor rgb="FFFFC000"/>
                </patternFill>
              </fill>
            </x14:dxf>
          </x14:cfRule>
          <xm:sqref>F7</xm:sqref>
        </x14:conditionalFormatting>
        <x14:conditionalFormatting xmlns:xm="http://schemas.microsoft.com/office/excel/2006/main">
          <x14:cfRule type="expression" priority="1" id="{41B9FFDE-53AE-4C63-9E02-1F6EA21FC48C}">
            <xm:f>'01.04.00'!$F:$F*3='01.04.00'!$G:$G</xm:f>
            <x14:dxf/>
          </x14:cfRule>
          <x14:cfRule type="expression" priority="2" id="{C806C6A5-F518-48F1-B156-C6476C217A74}">
            <xm:f>'01.04.00'!$F$7*3='01.04.00'!$G$7</xm:f>
            <x14:dxf/>
          </x14:cfRule>
          <xm:sqref>F1:F92</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5">
    <tabColor rgb="FF0070C0"/>
  </sheetPr>
  <dimension ref="A1:H92"/>
  <sheetViews>
    <sheetView topLeftCell="A10" workbookViewId="0">
      <selection activeCell="F21" sqref="F21"/>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246</v>
      </c>
    </row>
    <row r="4" spans="1:8" x14ac:dyDescent="0.25">
      <c r="A4" t="s">
        <v>81</v>
      </c>
      <c r="D4" s="12" t="s">
        <v>75</v>
      </c>
      <c r="E4" s="10">
        <f>F89</f>
        <v>45.801761043751064</v>
      </c>
      <c r="F4" t="s">
        <v>138</v>
      </c>
    </row>
    <row r="5" spans="1:8" x14ac:dyDescent="0.25">
      <c r="D5" s="12"/>
      <c r="E5" s="4"/>
    </row>
    <row r="6" spans="1:8" x14ac:dyDescent="0.25">
      <c r="A6" t="s">
        <v>7</v>
      </c>
      <c r="D6" s="12" t="s">
        <v>25</v>
      </c>
      <c r="E6" s="4" t="s">
        <v>21</v>
      </c>
      <c r="G6" t="s">
        <v>20</v>
      </c>
      <c r="H6" t="s">
        <v>42</v>
      </c>
    </row>
    <row r="7" spans="1:8" x14ac:dyDescent="0.25">
      <c r="A7" s="78" t="s">
        <v>104</v>
      </c>
      <c r="B7" s="50"/>
      <c r="C7" s="49" t="s">
        <v>98</v>
      </c>
      <c r="D7" s="13" t="s">
        <v>99</v>
      </c>
      <c r="E7" s="5"/>
      <c r="F7" s="1">
        <f>IFERROR(IF(F9/F8&lt;=0.1,0,IF(F9/F8&gt;=0.5,1,(F9/F8-0.1)/0.4))*G7,G7/3)</f>
        <v>3.3333333333333335</v>
      </c>
      <c r="G7" s="2">
        <v>10</v>
      </c>
      <c r="H7" s="7">
        <f>F7/G7</f>
        <v>0.33333333333333337</v>
      </c>
    </row>
    <row r="8" spans="1:8" x14ac:dyDescent="0.25">
      <c r="A8" s="78"/>
      <c r="B8" s="50"/>
      <c r="C8" s="50"/>
      <c r="D8" s="12" t="s">
        <v>100</v>
      </c>
      <c r="E8" s="4">
        <f>$E$2-2</f>
        <v>2020</v>
      </c>
      <c r="F8" s="22">
        <v>0</v>
      </c>
      <c r="H8" s="7"/>
    </row>
    <row r="9" spans="1:8" x14ac:dyDescent="0.25">
      <c r="A9" s="78"/>
      <c r="B9" s="50"/>
      <c r="C9" s="49"/>
      <c r="D9" s="19" t="s">
        <v>101</v>
      </c>
      <c r="E9" s="4">
        <f>$E$2-2</f>
        <v>2020</v>
      </c>
      <c r="F9" s="39">
        <v>0</v>
      </c>
      <c r="G9" s="20"/>
      <c r="H9" s="7"/>
    </row>
    <row r="10" spans="1:8" x14ac:dyDescent="0.25">
      <c r="A10" s="82" t="s">
        <v>235</v>
      </c>
      <c r="B10" s="52"/>
      <c r="C10" s="51" t="s">
        <v>103</v>
      </c>
      <c r="D10" s="1" t="s">
        <v>102</v>
      </c>
      <c r="F10" s="1">
        <f>IFERROR(IF(F11/F12&lt;=1.5,0,IF(F11/F12&gt;=10,1,(F11/F12-1.5)/8.5))*G10,G10/3)</f>
        <v>1.6666666666666667</v>
      </c>
      <c r="G10" s="1">
        <v>5</v>
      </c>
      <c r="H10" s="7">
        <f t="shared" ref="H10:H76" si="0">F10/G10</f>
        <v>0.33333333333333337</v>
      </c>
    </row>
    <row r="11" spans="1:8" x14ac:dyDescent="0.25">
      <c r="A11" s="82"/>
      <c r="B11" s="52"/>
      <c r="C11" s="52"/>
      <c r="D11" t="s">
        <v>105</v>
      </c>
      <c r="E11" s="4">
        <f>$E$2-2</f>
        <v>2020</v>
      </c>
      <c r="F11" s="22">
        <v>0</v>
      </c>
      <c r="H11" s="7"/>
    </row>
    <row r="12" spans="1:8" x14ac:dyDescent="0.25">
      <c r="A12" s="82"/>
      <c r="B12" s="52"/>
      <c r="C12" s="52"/>
      <c r="D12" t="s">
        <v>109</v>
      </c>
      <c r="E12" s="4">
        <f>$E$2-2</f>
        <v>2020</v>
      </c>
      <c r="F12" s="22">
        <v>0</v>
      </c>
      <c r="H12" s="7"/>
    </row>
    <row r="13" spans="1:8" x14ac:dyDescent="0.25">
      <c r="A13" s="78" t="s">
        <v>111</v>
      </c>
      <c r="B13" s="50"/>
      <c r="C13" s="49" t="s">
        <v>107</v>
      </c>
      <c r="D13" s="1" t="s">
        <v>108</v>
      </c>
      <c r="E13" s="1"/>
      <c r="F13" s="1">
        <f>IFERROR(IF(F14/F12&lt;=0,0,IF(F14/F12&gt;=0.25,1,F14/F12/0.25))*G13,G13/3)</f>
        <v>1.6666666666666667</v>
      </c>
      <c r="G13" s="1">
        <v>5</v>
      </c>
      <c r="H13" s="7">
        <f t="shared" si="0"/>
        <v>0.33333333333333337</v>
      </c>
    </row>
    <row r="14" spans="1:8" x14ac:dyDescent="0.25">
      <c r="A14" s="78"/>
      <c r="B14" s="50"/>
      <c r="C14" s="50"/>
      <c r="D14" t="s">
        <v>110</v>
      </c>
      <c r="E14" s="4">
        <f>$E$2-2</f>
        <v>2020</v>
      </c>
      <c r="F14" s="22">
        <v>0</v>
      </c>
      <c r="H14" s="7"/>
    </row>
    <row r="15" spans="1:8" x14ac:dyDescent="0.25">
      <c r="A15" s="82" t="s">
        <v>115</v>
      </c>
      <c r="B15" s="66"/>
      <c r="C15" s="67" t="s">
        <v>112</v>
      </c>
      <c r="D15" s="1" t="s">
        <v>2</v>
      </c>
      <c r="E15" s="63"/>
      <c r="F15" s="11">
        <f>IFERROR(IF(F16/F17*100&lt;=80,0,IF(F16/F17*100&gt;=100,1,(F16/F17*100-80)/20))*G15,G15/3)</f>
        <v>1.6666666666666667</v>
      </c>
      <c r="G15" s="1">
        <v>5</v>
      </c>
      <c r="H15" s="7">
        <f t="shared" si="0"/>
        <v>0.33333333333333337</v>
      </c>
    </row>
    <row r="16" spans="1:8" x14ac:dyDescent="0.25">
      <c r="A16" s="82"/>
      <c r="B16" s="66"/>
      <c r="C16" s="66"/>
      <c r="D16" t="s">
        <v>113</v>
      </c>
      <c r="E16" s="4" t="str">
        <f>$E$2-2&amp;" "&amp;$E$2-3&amp;" "&amp;$E$2-4</f>
        <v>2020 2019 2018</v>
      </c>
      <c r="F16" s="22">
        <v>0</v>
      </c>
      <c r="H16" s="7"/>
    </row>
    <row r="17" spans="1:8" x14ac:dyDescent="0.25">
      <c r="A17" s="82"/>
      <c r="B17" s="66"/>
      <c r="C17" s="66"/>
      <c r="D17" t="s">
        <v>114</v>
      </c>
      <c r="E17" s="4" t="str">
        <f>$E$2-2&amp;" "&amp;$E$2-3&amp;" "&amp;$E$2-4</f>
        <v>2020 2019 2018</v>
      </c>
      <c r="F17" s="22">
        <v>0</v>
      </c>
      <c r="H17" s="7"/>
    </row>
    <row r="18" spans="1:8" x14ac:dyDescent="0.25">
      <c r="A18" s="78" t="s">
        <v>17</v>
      </c>
      <c r="B18" s="50"/>
      <c r="C18" s="49" t="s">
        <v>116</v>
      </c>
      <c r="D18" s="13" t="s">
        <v>14</v>
      </c>
      <c r="E18" s="5"/>
      <c r="F18" s="1">
        <f>IFERROR(IF(F19/F20&gt;=1,1,IF(F19/F20&lt;=0,0,(F19/F20)))*G18,G18/3)</f>
        <v>0.66666666666666663</v>
      </c>
      <c r="G18" s="1">
        <v>2</v>
      </c>
      <c r="H18" s="7">
        <f t="shared" si="0"/>
        <v>0.33333333333333331</v>
      </c>
    </row>
    <row r="19" spans="1:8" x14ac:dyDescent="0.25">
      <c r="A19" s="78"/>
      <c r="B19" s="50"/>
      <c r="C19" s="50"/>
      <c r="D19" s="12" t="s">
        <v>15</v>
      </c>
      <c r="E19" s="4">
        <f>$E$2-2</f>
        <v>2020</v>
      </c>
      <c r="F19" s="22">
        <v>0</v>
      </c>
      <c r="H19" s="7"/>
    </row>
    <row r="20" spans="1:8" x14ac:dyDescent="0.25">
      <c r="A20" s="78"/>
      <c r="B20" s="50"/>
      <c r="C20" s="50"/>
      <c r="D20" s="12" t="s">
        <v>16</v>
      </c>
      <c r="E20" s="4">
        <f>$E$2-2</f>
        <v>2020</v>
      </c>
      <c r="F20" s="22">
        <v>0</v>
      </c>
      <c r="H20" s="7"/>
    </row>
    <row r="21" spans="1:8" x14ac:dyDescent="0.25">
      <c r="A21" s="84" t="s">
        <v>119</v>
      </c>
      <c r="B21" s="52"/>
      <c r="C21" s="51" t="s">
        <v>118</v>
      </c>
      <c r="D21" s="13" t="s">
        <v>117</v>
      </c>
      <c r="E21" s="1"/>
      <c r="F21" s="1">
        <f>IFERROR(IF((F25+0.25*F26+0.1*F27)/(F22+0.25*F23+0.1*F24)&gt;=0.25,1,IF((F25+0.25*F26+0.1*F27)/(F22+0.25*F23+0.1*F24)&lt;=0,0,(F25+0.25*F26+0.1*F27)/(F22+0.25*F23+0.1*F24)/0.25))*G21,G21/3)</f>
        <v>3</v>
      </c>
      <c r="G21" s="1">
        <v>9</v>
      </c>
      <c r="H21" s="7">
        <f t="shared" si="0"/>
        <v>0.33333333333333331</v>
      </c>
    </row>
    <row r="22" spans="1:8" x14ac:dyDescent="0.25">
      <c r="A22" s="84"/>
      <c r="B22" s="52"/>
      <c r="C22" s="52"/>
      <c r="D22" s="12" t="s">
        <v>27</v>
      </c>
      <c r="E22" s="4">
        <f t="shared" ref="E22:E41" si="1">$E$2-2</f>
        <v>2020</v>
      </c>
      <c r="F22" s="22">
        <v>0</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0</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0</v>
      </c>
      <c r="H27" s="7"/>
    </row>
    <row r="28" spans="1:8" hidden="1"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0</v>
      </c>
      <c r="G28" s="1">
        <v>0</v>
      </c>
      <c r="H28" s="7" t="e">
        <f t="shared" si="0"/>
        <v>#DIV/0!</v>
      </c>
    </row>
    <row r="29" spans="1:8" hidden="1" x14ac:dyDescent="0.25">
      <c r="A29" s="78"/>
      <c r="B29" s="50"/>
      <c r="C29" s="50"/>
      <c r="D29" s="12" t="s">
        <v>86</v>
      </c>
      <c r="E29" s="14">
        <f>$E$2-3</f>
        <v>2019</v>
      </c>
      <c r="F29" s="22">
        <v>0</v>
      </c>
      <c r="H29" s="7"/>
    </row>
    <row r="30" spans="1:8" hidden="1" x14ac:dyDescent="0.25">
      <c r="A30" s="78"/>
      <c r="B30" s="50"/>
      <c r="C30" s="50"/>
      <c r="D30" s="12" t="s">
        <v>87</v>
      </c>
      <c r="E30" s="14">
        <f t="shared" ref="E30:E34" si="2">$E$2-3</f>
        <v>2019</v>
      </c>
      <c r="F30" s="22">
        <v>0</v>
      </c>
      <c r="H30" s="7"/>
    </row>
    <row r="31" spans="1:8" hidden="1" x14ac:dyDescent="0.25">
      <c r="A31" s="78"/>
      <c r="B31" s="50"/>
      <c r="C31" s="50"/>
      <c r="D31" s="12" t="s">
        <v>88</v>
      </c>
      <c r="E31" s="14">
        <f t="shared" si="2"/>
        <v>2019</v>
      </c>
      <c r="F31" s="22">
        <v>0</v>
      </c>
      <c r="H31" s="7"/>
    </row>
    <row r="32" spans="1:8" hidden="1" x14ac:dyDescent="0.25">
      <c r="A32" s="78"/>
      <c r="B32" s="50"/>
      <c r="C32" s="50"/>
      <c r="D32" s="12" t="s">
        <v>89</v>
      </c>
      <c r="E32" s="14">
        <f t="shared" si="2"/>
        <v>2019</v>
      </c>
      <c r="F32" s="22">
        <v>0</v>
      </c>
      <c r="H32" s="7"/>
    </row>
    <row r="33" spans="1:8" hidden="1" x14ac:dyDescent="0.25">
      <c r="A33" s="78" t="s">
        <v>142</v>
      </c>
      <c r="B33" s="50"/>
      <c r="C33" s="50"/>
      <c r="D33" s="12" t="s">
        <v>90</v>
      </c>
      <c r="E33" s="14">
        <f t="shared" si="2"/>
        <v>2019</v>
      </c>
      <c r="F33" s="22">
        <v>0</v>
      </c>
      <c r="H33" s="7"/>
    </row>
    <row r="34" spans="1:8" hidden="1" x14ac:dyDescent="0.25">
      <c r="A34" s="78"/>
      <c r="B34" s="50"/>
      <c r="C34" s="50"/>
      <c r="D34" s="12" t="s">
        <v>91</v>
      </c>
      <c r="E34" s="14">
        <f t="shared" si="2"/>
        <v>2019</v>
      </c>
      <c r="F34" s="22">
        <v>0</v>
      </c>
      <c r="H34" s="7"/>
    </row>
    <row r="35" spans="1:8" hidden="1" x14ac:dyDescent="0.25">
      <c r="A35" s="78"/>
      <c r="B35" s="50"/>
      <c r="C35" s="50"/>
      <c r="D35" s="12" t="s">
        <v>92</v>
      </c>
      <c r="E35" s="4">
        <f t="shared" ref="E35:E37" si="3">$E$2-2</f>
        <v>2020</v>
      </c>
      <c r="F35" s="22">
        <v>0</v>
      </c>
      <c r="H35" s="7"/>
    </row>
    <row r="36" spans="1:8" hidden="1" x14ac:dyDescent="0.25">
      <c r="A36" s="78"/>
      <c r="B36" s="50"/>
      <c r="C36" s="50"/>
      <c r="D36" s="12" t="s">
        <v>93</v>
      </c>
      <c r="E36" s="4">
        <f t="shared" si="3"/>
        <v>2020</v>
      </c>
      <c r="F36" s="22">
        <v>0</v>
      </c>
      <c r="H36" s="7"/>
    </row>
    <row r="37" spans="1:8" hidden="1" x14ac:dyDescent="0.25">
      <c r="A37" s="78"/>
      <c r="B37" s="50"/>
      <c r="C37" s="50"/>
      <c r="D37" s="12" t="s">
        <v>94</v>
      </c>
      <c r="E37" s="4">
        <f t="shared" si="3"/>
        <v>2020</v>
      </c>
      <c r="F37" s="22">
        <v>0</v>
      </c>
      <c r="H37" s="7"/>
    </row>
    <row r="38" spans="1:8" x14ac:dyDescent="0.25">
      <c r="A38" s="82" t="s">
        <v>123</v>
      </c>
      <c r="B38" s="51"/>
      <c r="C38" s="51" t="s">
        <v>120</v>
      </c>
      <c r="D38" s="13" t="s">
        <v>37</v>
      </c>
      <c r="E38" s="5"/>
      <c r="F38" s="1">
        <f>IFERROR(IF((F39+0.25*F40+0.1*F41)/(F22+0.25*F23+0.1*F24)&gt;=0.5,1,IF((F39+0.25*F40+0.1*F41)/(F22+0.25*F23+0.1*F24)&lt;=0,0,(F39+0.25*F40+0.1*F41)/(F22+0.25*F23+0.1*F24)/0.5))*G38,G38/3)</f>
        <v>3</v>
      </c>
      <c r="G38" s="1">
        <v>9</v>
      </c>
      <c r="H38" s="7">
        <f t="shared" si="0"/>
        <v>0.33333333333333331</v>
      </c>
    </row>
    <row r="39" spans="1:8" x14ac:dyDescent="0.25">
      <c r="A39" s="82"/>
      <c r="B39" s="52"/>
      <c r="C39" s="52"/>
      <c r="D39" s="12" t="s">
        <v>121</v>
      </c>
      <c r="E39" s="4">
        <f t="shared" si="1"/>
        <v>2020</v>
      </c>
      <c r="F39" s="22">
        <v>0</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3.5714285714285712</v>
      </c>
      <c r="G52" s="1">
        <v>5</v>
      </c>
      <c r="H52" s="7">
        <f t="shared" si="0"/>
        <v>0.71428571428571419</v>
      </c>
    </row>
    <row r="53" spans="1:8" x14ac:dyDescent="0.25">
      <c r="A53" s="84"/>
      <c r="B53" s="52"/>
      <c r="C53" s="52"/>
      <c r="D53" s="12" t="s">
        <v>131</v>
      </c>
      <c r="E53" s="8" t="str">
        <f>"на 01.10."&amp;$E$2-3</f>
        <v>на 01.10.2019</v>
      </c>
      <c r="F53" s="22">
        <v>35</v>
      </c>
      <c r="H53" s="7"/>
    </row>
    <row r="54" spans="1:8" x14ac:dyDescent="0.25">
      <c r="A54" s="84"/>
      <c r="B54" s="52"/>
      <c r="C54" s="52"/>
      <c r="D54" s="12" t="s">
        <v>132</v>
      </c>
      <c r="E54" s="4" t="str">
        <f>"на 01.10."&amp;$E$2-2</f>
        <v>на 01.10.2020</v>
      </c>
      <c r="F54" s="22">
        <v>23</v>
      </c>
      <c r="H54" s="7"/>
    </row>
    <row r="55" spans="1:8" hidden="1" x14ac:dyDescent="0.25">
      <c r="A55" s="88" t="s">
        <v>59</v>
      </c>
      <c r="B55" s="91" t="s">
        <v>140</v>
      </c>
      <c r="C55" s="11" t="s">
        <v>134</v>
      </c>
      <c r="D55" s="13" t="s">
        <v>53</v>
      </c>
      <c r="E55" s="5"/>
      <c r="F55" s="1">
        <f>IFERROR(IF((F62/(F56+F59)+F63/(F57+F60)+F64/(F58+F61))/3*100&lt;=5,0,IF((F62/(F56+F59)+F63/(F57+F60)+F64/(F58+F61))/3*100&gt;=100,1,((F62/(F56+F59)+F63/(F57+F60)+F64/(F58+F61))/3*100-5)/95))*G55,"")</f>
        <v>0</v>
      </c>
      <c r="G55" s="1">
        <v>0</v>
      </c>
      <c r="H55" s="7" t="e">
        <f t="shared" si="0"/>
        <v>#DIV/0!</v>
      </c>
    </row>
    <row r="56" spans="1:8" hidden="1" x14ac:dyDescent="0.25">
      <c r="A56" s="88"/>
      <c r="B56" s="92"/>
      <c r="C56" s="9"/>
      <c r="D56" s="12" t="s">
        <v>54</v>
      </c>
      <c r="E56" s="8">
        <f>$E$2-5</f>
        <v>2017</v>
      </c>
      <c r="F56" s="38">
        <v>1051.2</v>
      </c>
      <c r="H56" s="7"/>
    </row>
    <row r="57" spans="1:8" hidden="1" x14ac:dyDescent="0.25">
      <c r="A57" s="88"/>
      <c r="B57" s="92"/>
      <c r="C57" s="9"/>
      <c r="D57" s="12" t="s">
        <v>54</v>
      </c>
      <c r="E57" s="8">
        <f>$E$2-4</f>
        <v>2018</v>
      </c>
      <c r="F57" s="38">
        <v>1047.5</v>
      </c>
      <c r="H57" s="7"/>
    </row>
    <row r="58" spans="1:8" hidden="1" x14ac:dyDescent="0.25">
      <c r="A58" s="88"/>
      <c r="B58" s="92"/>
      <c r="C58" s="9"/>
      <c r="D58" s="12" t="s">
        <v>54</v>
      </c>
      <c r="E58" s="8">
        <f>$E$2-3</f>
        <v>2019</v>
      </c>
      <c r="F58" s="38">
        <v>1059.5</v>
      </c>
      <c r="H58" s="7"/>
    </row>
    <row r="59" spans="1:8" hidden="1" x14ac:dyDescent="0.25">
      <c r="A59" s="88"/>
      <c r="B59" s="92"/>
      <c r="C59" s="9"/>
      <c r="D59" s="12" t="s">
        <v>55</v>
      </c>
      <c r="E59" s="8">
        <f>$E$2-5</f>
        <v>2017</v>
      </c>
      <c r="F59" s="38">
        <v>56.2</v>
      </c>
      <c r="H59" s="7"/>
    </row>
    <row r="60" spans="1:8" hidden="1" x14ac:dyDescent="0.25">
      <c r="A60" s="88"/>
      <c r="B60" s="92"/>
      <c r="C60" s="9"/>
      <c r="D60" s="12" t="s">
        <v>55</v>
      </c>
      <c r="E60" s="8">
        <f>$E$2-4</f>
        <v>2018</v>
      </c>
      <c r="F60" s="38">
        <v>54.6</v>
      </c>
      <c r="H60" s="7"/>
    </row>
    <row r="61" spans="1:8" hidden="1" x14ac:dyDescent="0.25">
      <c r="A61" s="88"/>
      <c r="B61" s="92"/>
      <c r="C61" s="9"/>
      <c r="D61" s="12" t="s">
        <v>55</v>
      </c>
      <c r="E61" s="8">
        <f>$E$2-3</f>
        <v>2019</v>
      </c>
      <c r="F61" s="38">
        <v>56.5</v>
      </c>
      <c r="H61" s="7"/>
    </row>
    <row r="62" spans="1:8" hidden="1" x14ac:dyDescent="0.25">
      <c r="A62" s="88"/>
      <c r="B62" s="92"/>
      <c r="C62" s="9"/>
      <c r="D62" s="12" t="s">
        <v>56</v>
      </c>
      <c r="E62" s="8">
        <f>$E$2-5</f>
        <v>2017</v>
      </c>
      <c r="F62" s="38">
        <v>380</v>
      </c>
      <c r="H62" s="7"/>
    </row>
    <row r="63" spans="1:8" hidden="1" x14ac:dyDescent="0.25">
      <c r="A63" s="88"/>
      <c r="B63" s="92"/>
      <c r="C63" s="9"/>
      <c r="D63" s="12" t="s">
        <v>56</v>
      </c>
      <c r="E63" s="8">
        <f>$E$2-4</f>
        <v>2018</v>
      </c>
      <c r="F63" s="38">
        <v>830</v>
      </c>
      <c r="H63" s="7"/>
    </row>
    <row r="64" spans="1:8" hidden="1" x14ac:dyDescent="0.25">
      <c r="A64" s="88"/>
      <c r="B64" s="92"/>
      <c r="C64" s="9"/>
      <c r="D64" s="12" t="s">
        <v>56</v>
      </c>
      <c r="E64" s="8">
        <f>$E$2-3</f>
        <v>2019</v>
      </c>
      <c r="F64" s="38">
        <v>1149</v>
      </c>
      <c r="H64" s="7"/>
    </row>
    <row r="65" spans="1:8" hidden="1" x14ac:dyDescent="0.25">
      <c r="A65" s="87" t="s">
        <v>79</v>
      </c>
      <c r="B65" s="92"/>
      <c r="C65" s="11" t="s">
        <v>135</v>
      </c>
      <c r="D65" s="35" t="s">
        <v>57</v>
      </c>
      <c r="E65" s="36"/>
      <c r="F65" s="1">
        <f>IFERROR(IF((F66/(F56+F59)+F67/(F57+F60)+F68/(F58+F61))/3&lt;=100,0,IF((F66/(F56+F59)+F67/(F57+F60)+F68/(F58+F61))/3&gt;=1000,1,((F66/(F56+F59)+F67/(F57+F60)+F68/(F58+F61))/3-100)/900))*G65," ")</f>
        <v>0</v>
      </c>
      <c r="G65" s="1">
        <v>0</v>
      </c>
      <c r="H65" s="7" t="e">
        <f t="shared" si="0"/>
        <v>#DIV/0!</v>
      </c>
    </row>
    <row r="66" spans="1:8" hidden="1" x14ac:dyDescent="0.25">
      <c r="A66" s="87"/>
      <c r="B66" s="92"/>
      <c r="C66" s="9"/>
      <c r="D66" s="37" t="s">
        <v>161</v>
      </c>
      <c r="E66" s="8">
        <v>2017</v>
      </c>
      <c r="F66" s="38">
        <v>265431.7</v>
      </c>
      <c r="H66" s="7"/>
    </row>
    <row r="67" spans="1:8" hidden="1" x14ac:dyDescent="0.25">
      <c r="A67" s="87"/>
      <c r="B67" s="92"/>
      <c r="C67" s="9"/>
      <c r="D67" s="37" t="s">
        <v>161</v>
      </c>
      <c r="E67" s="8">
        <v>2018</v>
      </c>
      <c r="F67" s="38">
        <v>382808.6</v>
      </c>
      <c r="H67" s="7"/>
    </row>
    <row r="68" spans="1:8" hidden="1" x14ac:dyDescent="0.25">
      <c r="A68" s="87"/>
      <c r="B68" s="92"/>
      <c r="C68" s="9"/>
      <c r="D68" s="37" t="s">
        <v>161</v>
      </c>
      <c r="E68" s="8">
        <v>2019</v>
      </c>
      <c r="F68" s="38">
        <v>619984.4</v>
      </c>
      <c r="H68" s="7"/>
    </row>
    <row r="69" spans="1:8" x14ac:dyDescent="0.25">
      <c r="A69" s="88" t="s">
        <v>78</v>
      </c>
      <c r="B69" s="92"/>
      <c r="C69" s="11" t="s">
        <v>136</v>
      </c>
      <c r="D69" s="13" t="s">
        <v>60</v>
      </c>
      <c r="E69" s="5"/>
      <c r="F69" s="1">
        <f>IF((F73+0.25*F74+0.1*F75)/(F70+F71*0.25+F72*0.1)*100&gt;=15,1,IF((F73+0.25*F74+0.1*F75)/(F70+F71*0.25+F72*0.1)*100&lt;=1,0,((F73+0.25*F74+0.1*F75)/(F70+F71*0.25+F72*0.1)*100-1)/14))*G69</f>
        <v>6.1322199921550755</v>
      </c>
      <c r="G69" s="1">
        <v>15</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14.431445813500748</v>
      </c>
      <c r="G76" s="1">
        <v>15</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45.801761043751064</v>
      </c>
      <c r="G89" s="1">
        <v>100</v>
      </c>
      <c r="H89" s="7">
        <f t="shared" ref="H89" si="5">F89/G89</f>
        <v>0.45801761043751066</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sheetData>
  <mergeCells count="17">
    <mergeCell ref="A21:A27"/>
    <mergeCell ref="A7:A9"/>
    <mergeCell ref="A10:A12"/>
    <mergeCell ref="A13:A14"/>
    <mergeCell ref="A15:A17"/>
    <mergeCell ref="A18:A20"/>
    <mergeCell ref="A28:A32"/>
    <mergeCell ref="A33:A37"/>
    <mergeCell ref="A38:A41"/>
    <mergeCell ref="A42:A51"/>
    <mergeCell ref="A52:A54"/>
    <mergeCell ref="B55:B88"/>
    <mergeCell ref="A65:A68"/>
    <mergeCell ref="A69:A75"/>
    <mergeCell ref="A76:A88"/>
    <mergeCell ref="A89:A92"/>
    <mergeCell ref="A55:A64"/>
  </mergeCells>
  <conditionalFormatting sqref="H1:H2 H4:H28 H38:H76">
    <cfRule type="iconSet" priority="7">
      <iconSet>
        <cfvo type="percent" val="0"/>
        <cfvo type="percent" val="33"/>
        <cfvo type="percent" val="67"/>
      </iconSet>
    </cfRule>
  </conditionalFormatting>
  <conditionalFormatting sqref="H89:H92">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3" id="{1A9580CA-E559-4BB1-8C73-6E5643D0A101}">
            <xm:f>'01.04.00'!$F$7*3='01.04.00'!$G$7</xm:f>
            <x14:dxf>
              <fill>
                <patternFill>
                  <bgColor rgb="FFFFC000"/>
                </patternFill>
              </fill>
            </x14:dxf>
          </x14:cfRule>
          <xm:sqref>F7</xm:sqref>
        </x14:conditionalFormatting>
        <x14:conditionalFormatting xmlns:xm="http://schemas.microsoft.com/office/excel/2006/main">
          <x14:cfRule type="expression" priority="1" id="{CA5A8F71-B742-4EF5-B9B5-C8F448396F17}">
            <xm:f>'01.04.00'!$F:$F*3='01.04.00'!$G:$G</xm:f>
            <x14:dxf/>
          </x14:cfRule>
          <x14:cfRule type="expression" priority="2" id="{B06A37BB-2916-4154-88E3-90E663ABF5E3}">
            <xm:f>'01.04.00'!$F$7*3='01.04.00'!$G$7</xm:f>
            <x14:dxf/>
          </x14:cfRule>
          <xm:sqref>F1:F92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6">
    <tabColor rgb="FF0070C0"/>
  </sheetPr>
  <dimension ref="A1:H92"/>
  <sheetViews>
    <sheetView topLeftCell="A65" workbookViewId="0">
      <selection activeCell="G24" sqref="G24"/>
    </sheetView>
  </sheetViews>
  <sheetFormatPr defaultRowHeight="15" x14ac:dyDescent="0.25"/>
  <cols>
    <col min="1" max="1" width="53.42578125" customWidth="1"/>
    <col min="4" max="4" width="57" customWidth="1"/>
    <col min="5" max="5" width="33.85546875" customWidth="1"/>
    <col min="6" max="6" width="11.42578125" customWidth="1"/>
    <col min="7" max="7" width="20" customWidth="1"/>
    <col min="8" max="8" width="16" customWidth="1"/>
  </cols>
  <sheetData>
    <row r="1" spans="1:8" x14ac:dyDescent="0.25">
      <c r="D1" s="12"/>
      <c r="E1" s="4"/>
    </row>
    <row r="2" spans="1:8" x14ac:dyDescent="0.25">
      <c r="A2" s="1" t="s">
        <v>80</v>
      </c>
      <c r="D2" s="12" t="s">
        <v>24</v>
      </c>
      <c r="E2" s="6">
        <v>2022</v>
      </c>
    </row>
    <row r="3" spans="1:8" x14ac:dyDescent="0.25">
      <c r="A3" s="1"/>
      <c r="D3" s="12" t="s">
        <v>191</v>
      </c>
      <c r="E3" s="6" t="s">
        <v>247</v>
      </c>
    </row>
    <row r="4" spans="1:8" x14ac:dyDescent="0.25">
      <c r="A4" t="s">
        <v>81</v>
      </c>
      <c r="D4" s="12" t="s">
        <v>75</v>
      </c>
      <c r="E4" s="10">
        <f>F89</f>
        <v>42.8771640418529</v>
      </c>
      <c r="F4" t="s">
        <v>138</v>
      </c>
    </row>
    <row r="5" spans="1:8" x14ac:dyDescent="0.25">
      <c r="D5" s="12"/>
      <c r="E5" s="4"/>
    </row>
    <row r="6" spans="1:8" x14ac:dyDescent="0.25">
      <c r="A6" t="s">
        <v>7</v>
      </c>
      <c r="D6" s="12" t="s">
        <v>25</v>
      </c>
      <c r="E6" s="4" t="s">
        <v>21</v>
      </c>
      <c r="G6" t="s">
        <v>20</v>
      </c>
      <c r="H6" t="s">
        <v>42</v>
      </c>
    </row>
    <row r="7" spans="1:8" x14ac:dyDescent="0.25">
      <c r="A7" s="78" t="s">
        <v>104</v>
      </c>
      <c r="B7" s="50"/>
      <c r="C7" s="49" t="s">
        <v>98</v>
      </c>
      <c r="D7" s="13" t="s">
        <v>99</v>
      </c>
      <c r="E7" s="5"/>
      <c r="F7" s="1">
        <f>IFERROR(IF(F9/F8&lt;=0.1,0,IF(F9/F8&gt;=0.5,1,(F9/F8-0.1)/0.4))*G7,G7/3)</f>
        <v>3.3333333333333335</v>
      </c>
      <c r="G7" s="2">
        <v>10</v>
      </c>
      <c r="H7" s="7">
        <f>F7/G7</f>
        <v>0.33333333333333337</v>
      </c>
    </row>
    <row r="8" spans="1:8" x14ac:dyDescent="0.25">
      <c r="A8" s="78"/>
      <c r="B8" s="50"/>
      <c r="C8" s="50"/>
      <c r="D8" s="12" t="s">
        <v>100</v>
      </c>
      <c r="E8" s="4">
        <f>$E$2-2</f>
        <v>2020</v>
      </c>
      <c r="F8" s="22">
        <v>0</v>
      </c>
      <c r="H8" s="7"/>
    </row>
    <row r="9" spans="1:8" x14ac:dyDescent="0.25">
      <c r="A9" s="78"/>
      <c r="B9" s="50"/>
      <c r="C9" s="49"/>
      <c r="D9" s="19" t="s">
        <v>101</v>
      </c>
      <c r="E9" s="4">
        <f>$E$2-2</f>
        <v>2020</v>
      </c>
      <c r="F9" s="39">
        <v>0</v>
      </c>
      <c r="G9" s="20"/>
      <c r="H9" s="7"/>
    </row>
    <row r="10" spans="1:8" x14ac:dyDescent="0.25">
      <c r="A10" s="82" t="s">
        <v>235</v>
      </c>
      <c r="B10" s="52"/>
      <c r="C10" s="51" t="s">
        <v>103</v>
      </c>
      <c r="D10" s="1" t="s">
        <v>102</v>
      </c>
      <c r="F10" s="1">
        <f>IFERROR(IF(F11/F12&lt;=1.5,0,IF(F11/F12&gt;=10,1,(F11/F12-1.5)/8.5))*G10,G10/3)</f>
        <v>1.6666666666666667</v>
      </c>
      <c r="G10" s="1">
        <v>5</v>
      </c>
      <c r="H10" s="7">
        <f t="shared" ref="H10:H76" si="0">F10/G10</f>
        <v>0.33333333333333337</v>
      </c>
    </row>
    <row r="11" spans="1:8" x14ac:dyDescent="0.25">
      <c r="A11" s="82"/>
      <c r="B11" s="52"/>
      <c r="C11" s="52"/>
      <c r="D11" t="s">
        <v>105</v>
      </c>
      <c r="E11" s="4">
        <f>$E$2-2</f>
        <v>2020</v>
      </c>
      <c r="F11" s="22">
        <v>0</v>
      </c>
      <c r="H11" s="7"/>
    </row>
    <row r="12" spans="1:8" x14ac:dyDescent="0.25">
      <c r="A12" s="82"/>
      <c r="B12" s="52"/>
      <c r="C12" s="52"/>
      <c r="D12" t="s">
        <v>109</v>
      </c>
      <c r="E12" s="4">
        <f>$E$2-2</f>
        <v>2020</v>
      </c>
      <c r="F12" s="22">
        <v>0</v>
      </c>
      <c r="H12" s="7"/>
    </row>
    <row r="13" spans="1:8" x14ac:dyDescent="0.25">
      <c r="A13" s="78" t="s">
        <v>111</v>
      </c>
      <c r="B13" s="50"/>
      <c r="C13" s="49" t="s">
        <v>107</v>
      </c>
      <c r="D13" s="1" t="s">
        <v>108</v>
      </c>
      <c r="E13" s="1"/>
      <c r="F13" s="1">
        <f>IFERROR(IF(F14/F12&lt;=0,0,IF(F14/F12&gt;=0.25,1,F14/F12/0.25))*G13,G13/3)</f>
        <v>1.6666666666666667</v>
      </c>
      <c r="G13" s="1">
        <v>5</v>
      </c>
      <c r="H13" s="7">
        <f t="shared" si="0"/>
        <v>0.33333333333333337</v>
      </c>
    </row>
    <row r="14" spans="1:8" x14ac:dyDescent="0.25">
      <c r="A14" s="78"/>
      <c r="B14" s="50"/>
      <c r="C14" s="50"/>
      <c r="D14" t="s">
        <v>110</v>
      </c>
      <c r="E14" s="4">
        <f>$E$2-2</f>
        <v>2020</v>
      </c>
      <c r="F14" s="22">
        <v>0</v>
      </c>
      <c r="H14" s="7"/>
    </row>
    <row r="15" spans="1:8" x14ac:dyDescent="0.25">
      <c r="A15" s="82" t="s">
        <v>115</v>
      </c>
      <c r="B15" s="66"/>
      <c r="C15" s="67" t="s">
        <v>112</v>
      </c>
      <c r="D15" s="1" t="s">
        <v>2</v>
      </c>
      <c r="E15" s="63"/>
      <c r="F15" s="11">
        <f>IFERROR(IF(F16/F17*100&lt;=80,0,IF(F16/F17*100&gt;=100,1,(F16/F17*100-80)/20))*G15,G15/3)</f>
        <v>1.6666666666666667</v>
      </c>
      <c r="G15" s="1">
        <v>5</v>
      </c>
      <c r="H15" s="7">
        <f t="shared" si="0"/>
        <v>0.33333333333333337</v>
      </c>
    </row>
    <row r="16" spans="1:8" x14ac:dyDescent="0.25">
      <c r="A16" s="82"/>
      <c r="B16" s="66"/>
      <c r="C16" s="66"/>
      <c r="D16" t="s">
        <v>113</v>
      </c>
      <c r="E16" s="4" t="str">
        <f>$E$2-2&amp;" "&amp;$E$2-3&amp;" "&amp;$E$2-4</f>
        <v>2020 2019 2018</v>
      </c>
      <c r="F16" s="22">
        <v>0</v>
      </c>
      <c r="H16" s="7"/>
    </row>
    <row r="17" spans="1:8" x14ac:dyDescent="0.25">
      <c r="A17" s="82"/>
      <c r="B17" s="66"/>
      <c r="C17" s="66"/>
      <c r="D17" t="s">
        <v>114</v>
      </c>
      <c r="E17" s="4" t="str">
        <f>$E$2-2&amp;" "&amp;$E$2-3&amp;" "&amp;$E$2-4</f>
        <v>2020 2019 2018</v>
      </c>
      <c r="F17" s="22">
        <v>0</v>
      </c>
      <c r="H17" s="7"/>
    </row>
    <row r="18" spans="1:8" x14ac:dyDescent="0.25">
      <c r="A18" s="78" t="s">
        <v>17</v>
      </c>
      <c r="B18" s="50"/>
      <c r="C18" s="49" t="s">
        <v>116</v>
      </c>
      <c r="D18" s="13" t="s">
        <v>14</v>
      </c>
      <c r="E18" s="5"/>
      <c r="F18" s="1">
        <f>IFERROR(IF(F19/F20&gt;=1,1,IF(F19/F20&lt;=0,0,(F19/F20)))*G18,G18/3)</f>
        <v>0.66666666666666663</v>
      </c>
      <c r="G18" s="1">
        <v>2</v>
      </c>
      <c r="H18" s="7">
        <f t="shared" si="0"/>
        <v>0.33333333333333331</v>
      </c>
    </row>
    <row r="19" spans="1:8" x14ac:dyDescent="0.25">
      <c r="A19" s="78"/>
      <c r="B19" s="50"/>
      <c r="C19" s="50"/>
      <c r="D19" s="12" t="s">
        <v>15</v>
      </c>
      <c r="E19" s="4">
        <f>$E$2-2</f>
        <v>2020</v>
      </c>
      <c r="F19" s="22">
        <v>0</v>
      </c>
      <c r="H19" s="7"/>
    </row>
    <row r="20" spans="1:8" x14ac:dyDescent="0.25">
      <c r="A20" s="78"/>
      <c r="B20" s="50"/>
      <c r="C20" s="50"/>
      <c r="D20" s="12" t="s">
        <v>16</v>
      </c>
      <c r="E20" s="4">
        <f>$E$2-2</f>
        <v>2020</v>
      </c>
      <c r="F20" s="22">
        <v>0</v>
      </c>
      <c r="H20" s="7"/>
    </row>
    <row r="21" spans="1:8" x14ac:dyDescent="0.25">
      <c r="A21" s="84" t="s">
        <v>119</v>
      </c>
      <c r="B21" s="52"/>
      <c r="C21" s="51" t="s">
        <v>118</v>
      </c>
      <c r="D21" s="13" t="s">
        <v>117</v>
      </c>
      <c r="E21" s="1"/>
      <c r="F21" s="1">
        <f>IFERROR(IF((F25+0.25*F26+0.1*F27)/(F22+0.25*F23+0.1*F24)&gt;=0.25,1,IF((F25+0.25*F26+0.1*F27)/(F22+0.25*F23+0.1*F24)&lt;=0,0,(F25+0.25*F26+0.1*F27)/(F22+0.25*F23+0.1*F24)/0.25))*G21,G21/3)</f>
        <v>3</v>
      </c>
      <c r="G21" s="1">
        <v>9</v>
      </c>
      <c r="H21" s="7">
        <f t="shared" si="0"/>
        <v>0.33333333333333331</v>
      </c>
    </row>
    <row r="22" spans="1:8" x14ac:dyDescent="0.25">
      <c r="A22" s="84"/>
      <c r="B22" s="52"/>
      <c r="C22" s="52"/>
      <c r="D22" s="12" t="s">
        <v>27</v>
      </c>
      <c r="E22" s="4">
        <f t="shared" ref="E22:E41" si="1">$E$2-2</f>
        <v>2020</v>
      </c>
      <c r="F22" s="22">
        <v>0</v>
      </c>
      <c r="H22" s="7"/>
    </row>
    <row r="23" spans="1:8" x14ac:dyDescent="0.25">
      <c r="A23" s="84"/>
      <c r="B23" s="52"/>
      <c r="C23" s="52"/>
      <c r="D23" s="12" t="s">
        <v>30</v>
      </c>
      <c r="E23" s="4">
        <f t="shared" si="1"/>
        <v>2020</v>
      </c>
      <c r="F23" s="22">
        <v>0</v>
      </c>
      <c r="H23" s="7"/>
    </row>
    <row r="24" spans="1:8" x14ac:dyDescent="0.25">
      <c r="A24" s="84"/>
      <c r="B24" s="52"/>
      <c r="C24" s="52"/>
      <c r="D24" s="12" t="s">
        <v>33</v>
      </c>
      <c r="E24" s="4">
        <f t="shared" si="1"/>
        <v>2020</v>
      </c>
      <c r="F24" s="22">
        <v>0</v>
      </c>
      <c r="H24" s="7"/>
    </row>
    <row r="25" spans="1:8" x14ac:dyDescent="0.25">
      <c r="A25" s="84"/>
      <c r="B25" s="52"/>
      <c r="C25" s="52"/>
      <c r="D25" s="12" t="s">
        <v>28</v>
      </c>
      <c r="E25" s="4">
        <f t="shared" si="1"/>
        <v>2020</v>
      </c>
      <c r="F25" s="22">
        <v>0</v>
      </c>
      <c r="H25" s="7"/>
    </row>
    <row r="26" spans="1:8" x14ac:dyDescent="0.25">
      <c r="A26" s="84"/>
      <c r="B26" s="52"/>
      <c r="C26" s="52"/>
      <c r="D26" s="12" t="s">
        <v>31</v>
      </c>
      <c r="E26" s="4">
        <f t="shared" si="1"/>
        <v>2020</v>
      </c>
      <c r="F26" s="22">
        <v>0</v>
      </c>
      <c r="H26" s="7"/>
    </row>
    <row r="27" spans="1:8" x14ac:dyDescent="0.25">
      <c r="A27" s="84"/>
      <c r="B27" s="52"/>
      <c r="C27" s="52"/>
      <c r="D27" s="12" t="s">
        <v>34</v>
      </c>
      <c r="E27" s="4">
        <f t="shared" si="1"/>
        <v>2020</v>
      </c>
      <c r="F27" s="22">
        <v>0</v>
      </c>
      <c r="H27" s="7"/>
    </row>
    <row r="28" spans="1:8" hidden="1" x14ac:dyDescent="0.25">
      <c r="A28" s="78" t="s">
        <v>143</v>
      </c>
      <c r="B28" s="50"/>
      <c r="C28" s="49" t="s">
        <v>141</v>
      </c>
      <c r="D28" s="13" t="s">
        <v>84</v>
      </c>
      <c r="E28" s="4"/>
      <c r="F28" s="11">
        <f>IFERROR(IF(IF(AND(F35+0.25*F36+0.1*F37=0,0.25*(F29+0.25*F30+0.1*F31)+(F32+0.25*F33+0.1*F34)&gt;0),1,(0.25*(F29+0.25*F30+0.1*F31)+(F32+0.25*F33+0.1*F34))/(F35+0.25*F36+0.1*F37))&gt;=0.2,1,IF(IF(F35+0.25*F36+0.1*F37=0,1,(0.25*(F29+0.25*F30+0.1*F31)+(F32+0.25*F33+0.1*F34))/(F35+0.25*F36+0.1*F37))&lt;=0,0,IF(F35+0.25*F36+0.1*F37=0,1,(0.25*(F29+0.25*F30+0.1*F31)+(F32+0.25*F33+0.1*F34))/(F35+0.25*F36+0.1*F37)/0.2)))*G28,G28/3)</f>
        <v>0</v>
      </c>
      <c r="G28" s="1">
        <v>0</v>
      </c>
      <c r="H28" s="7" t="e">
        <f t="shared" si="0"/>
        <v>#DIV/0!</v>
      </c>
    </row>
    <row r="29" spans="1:8" hidden="1" x14ac:dyDescent="0.25">
      <c r="A29" s="78"/>
      <c r="B29" s="50"/>
      <c r="C29" s="50"/>
      <c r="D29" s="12" t="s">
        <v>86</v>
      </c>
      <c r="E29" s="14">
        <f>$E$2-3</f>
        <v>2019</v>
      </c>
      <c r="F29" s="22">
        <v>0</v>
      </c>
      <c r="H29" s="7"/>
    </row>
    <row r="30" spans="1:8" hidden="1" x14ac:dyDescent="0.25">
      <c r="A30" s="78"/>
      <c r="B30" s="50"/>
      <c r="C30" s="50"/>
      <c r="D30" s="12" t="s">
        <v>87</v>
      </c>
      <c r="E30" s="14">
        <f t="shared" ref="E30:E34" si="2">$E$2-3</f>
        <v>2019</v>
      </c>
      <c r="F30" s="22">
        <v>0</v>
      </c>
      <c r="H30" s="7"/>
    </row>
    <row r="31" spans="1:8" hidden="1" x14ac:dyDescent="0.25">
      <c r="A31" s="78"/>
      <c r="B31" s="50"/>
      <c r="C31" s="50"/>
      <c r="D31" s="12" t="s">
        <v>88</v>
      </c>
      <c r="E31" s="14">
        <f t="shared" si="2"/>
        <v>2019</v>
      </c>
      <c r="F31" s="22">
        <v>0</v>
      </c>
      <c r="H31" s="7"/>
    </row>
    <row r="32" spans="1:8" hidden="1" x14ac:dyDescent="0.25">
      <c r="A32" s="78"/>
      <c r="B32" s="50"/>
      <c r="C32" s="50"/>
      <c r="D32" s="12" t="s">
        <v>89</v>
      </c>
      <c r="E32" s="14">
        <f t="shared" si="2"/>
        <v>2019</v>
      </c>
      <c r="F32" s="22">
        <v>0</v>
      </c>
      <c r="H32" s="7"/>
    </row>
    <row r="33" spans="1:8" hidden="1" x14ac:dyDescent="0.25">
      <c r="A33" s="78" t="s">
        <v>142</v>
      </c>
      <c r="B33" s="50"/>
      <c r="C33" s="50"/>
      <c r="D33" s="12" t="s">
        <v>90</v>
      </c>
      <c r="E33" s="14">
        <f t="shared" si="2"/>
        <v>2019</v>
      </c>
      <c r="F33" s="22">
        <v>0</v>
      </c>
      <c r="H33" s="7"/>
    </row>
    <row r="34" spans="1:8" hidden="1" x14ac:dyDescent="0.25">
      <c r="A34" s="78"/>
      <c r="B34" s="50"/>
      <c r="C34" s="50"/>
      <c r="D34" s="12" t="s">
        <v>91</v>
      </c>
      <c r="E34" s="14">
        <f t="shared" si="2"/>
        <v>2019</v>
      </c>
      <c r="F34" s="22">
        <v>0</v>
      </c>
      <c r="H34" s="7"/>
    </row>
    <row r="35" spans="1:8" hidden="1" x14ac:dyDescent="0.25">
      <c r="A35" s="78"/>
      <c r="B35" s="50"/>
      <c r="C35" s="50"/>
      <c r="D35" s="12" t="s">
        <v>92</v>
      </c>
      <c r="E35" s="4">
        <f t="shared" ref="E35:E37" si="3">$E$2-2</f>
        <v>2020</v>
      </c>
      <c r="F35" s="22">
        <v>0</v>
      </c>
      <c r="H35" s="7"/>
    </row>
    <row r="36" spans="1:8" hidden="1" x14ac:dyDescent="0.25">
      <c r="A36" s="78"/>
      <c r="B36" s="50"/>
      <c r="C36" s="50"/>
      <c r="D36" s="12" t="s">
        <v>93</v>
      </c>
      <c r="E36" s="4">
        <f t="shared" si="3"/>
        <v>2020</v>
      </c>
      <c r="F36" s="22">
        <v>0</v>
      </c>
      <c r="H36" s="7"/>
    </row>
    <row r="37" spans="1:8" hidden="1" x14ac:dyDescent="0.25">
      <c r="A37" s="78"/>
      <c r="B37" s="50"/>
      <c r="C37" s="50"/>
      <c r="D37" s="12" t="s">
        <v>94</v>
      </c>
      <c r="E37" s="4">
        <f t="shared" si="3"/>
        <v>2020</v>
      </c>
      <c r="F37" s="22">
        <v>0</v>
      </c>
      <c r="H37" s="7"/>
    </row>
    <row r="38" spans="1:8" x14ac:dyDescent="0.25">
      <c r="A38" s="82" t="s">
        <v>123</v>
      </c>
      <c r="B38" s="51"/>
      <c r="C38" s="51" t="s">
        <v>120</v>
      </c>
      <c r="D38" s="13" t="s">
        <v>37</v>
      </c>
      <c r="E38" s="5"/>
      <c r="F38" s="1">
        <f>IFERROR(IF((F39+0.25*F40+0.1*F41)/(F22+0.25*F23+0.1*F24)&gt;=0.5,1,IF((F39+0.25*F40+0.1*F41)/(F22+0.25*F23+0.1*F24)&lt;=0,0,(F39+0.25*F40+0.1*F41)/(F22+0.25*F23+0.1*F24)/0.5))*G38,G38/3)</f>
        <v>3</v>
      </c>
      <c r="G38" s="1">
        <v>9</v>
      </c>
      <c r="H38" s="7">
        <f t="shared" si="0"/>
        <v>0.33333333333333331</v>
      </c>
    </row>
    <row r="39" spans="1:8" x14ac:dyDescent="0.25">
      <c r="A39" s="82"/>
      <c r="B39" s="52"/>
      <c r="C39" s="52"/>
      <c r="D39" s="12" t="s">
        <v>121</v>
      </c>
      <c r="E39" s="4">
        <f t="shared" si="1"/>
        <v>2020</v>
      </c>
      <c r="F39" s="22">
        <v>0</v>
      </c>
      <c r="H39" s="7"/>
    </row>
    <row r="40" spans="1:8" x14ac:dyDescent="0.25">
      <c r="A40" s="82"/>
      <c r="B40" s="52"/>
      <c r="C40" s="52"/>
      <c r="D40" s="12" t="s">
        <v>39</v>
      </c>
      <c r="E40" s="4">
        <f t="shared" si="1"/>
        <v>2020</v>
      </c>
      <c r="F40" s="22">
        <v>0</v>
      </c>
      <c r="H40" s="7"/>
    </row>
    <row r="41" spans="1:8" x14ac:dyDescent="0.25">
      <c r="A41" s="82"/>
      <c r="B41" s="52"/>
      <c r="C41" s="52"/>
      <c r="D41" s="12" t="s">
        <v>122</v>
      </c>
      <c r="E41" s="4">
        <f t="shared" si="1"/>
        <v>2020</v>
      </c>
      <c r="F41" s="22">
        <v>0</v>
      </c>
      <c r="H41" s="7"/>
    </row>
    <row r="42" spans="1:8" x14ac:dyDescent="0.25">
      <c r="A42" s="79" t="s">
        <v>129</v>
      </c>
      <c r="B42" s="50"/>
      <c r="C42" s="49" t="s">
        <v>125</v>
      </c>
      <c r="D42" s="13" t="s">
        <v>124</v>
      </c>
      <c r="E42" s="1"/>
      <c r="F42" s="1">
        <f>IFERROR(IF((F46*F43/F49+F47*F44/F50+F48*F45/F51)/(SUM(F43:F45))&lt;=1,0,IF((F46*F43/F49+F47*F44/F50+F48*F45/F51)/(SUM(F43:F45))&gt;=5,1,IF(SUM(F43:F45)&lt;=5,"Значение показателя Число трудоустроенных выпускников менее 5, фактическое значение показателя не рассчитывается, а его нормированная оценка определяется в соответствии с пунктом 7 Методики",(F46*F43/F49+F47*F44/F50+F48*F45/F51)/(SUM(F43:F45)))))*G42,G42/3)</f>
        <v>6.666666666666667</v>
      </c>
      <c r="G42" s="2">
        <v>20</v>
      </c>
      <c r="H42" s="7">
        <f t="shared" si="0"/>
        <v>0.33333333333333337</v>
      </c>
    </row>
    <row r="43" spans="1:8" x14ac:dyDescent="0.25">
      <c r="A43" s="79"/>
      <c r="B43" s="50"/>
      <c r="C43" s="50"/>
      <c r="D43" s="12" t="s">
        <v>126</v>
      </c>
      <c r="E43" s="8">
        <f>$E$2-5</f>
        <v>2017</v>
      </c>
      <c r="F43" s="22"/>
      <c r="H43" s="7"/>
    </row>
    <row r="44" spans="1:8" x14ac:dyDescent="0.25">
      <c r="A44" s="79"/>
      <c r="B44" s="50"/>
      <c r="C44" s="50"/>
      <c r="D44" s="12" t="s">
        <v>126</v>
      </c>
      <c r="E44" s="8">
        <f>$E$2-4</f>
        <v>2018</v>
      </c>
      <c r="F44" s="22"/>
      <c r="H44" s="7"/>
    </row>
    <row r="45" spans="1:8" x14ac:dyDescent="0.25">
      <c r="A45" s="79"/>
      <c r="B45" s="50"/>
      <c r="C45" s="50"/>
      <c r="D45" s="12" t="s">
        <v>126</v>
      </c>
      <c r="E45" s="8">
        <f>$E$2-3</f>
        <v>2019</v>
      </c>
      <c r="F45" s="22"/>
      <c r="H45" s="7"/>
    </row>
    <row r="46" spans="1:8" x14ac:dyDescent="0.25">
      <c r="A46" s="79"/>
      <c r="B46" s="50"/>
      <c r="C46" s="50"/>
      <c r="D46" s="12" t="s">
        <v>127</v>
      </c>
      <c r="E46" s="8">
        <f>$E$2-5</f>
        <v>2017</v>
      </c>
      <c r="F46" s="22"/>
      <c r="H46" s="7"/>
    </row>
    <row r="47" spans="1:8" x14ac:dyDescent="0.25">
      <c r="A47" s="79"/>
      <c r="B47" s="50"/>
      <c r="C47" s="50"/>
      <c r="D47" s="12" t="s">
        <v>127</v>
      </c>
      <c r="E47" s="8">
        <f>$E$2-4</f>
        <v>2018</v>
      </c>
      <c r="F47" s="22"/>
      <c r="H47" s="7"/>
    </row>
    <row r="48" spans="1:8" x14ac:dyDescent="0.25">
      <c r="A48" s="79"/>
      <c r="B48" s="50"/>
      <c r="C48" s="50"/>
      <c r="D48" s="12" t="s">
        <v>127</v>
      </c>
      <c r="E48" s="8">
        <f>$E$2-3</f>
        <v>2019</v>
      </c>
      <c r="F48" s="22"/>
      <c r="H48" s="7"/>
    </row>
    <row r="49" spans="1:8" x14ac:dyDescent="0.25">
      <c r="A49" s="79"/>
      <c r="B49" s="50"/>
      <c r="C49" s="50"/>
      <c r="D49" s="12" t="s">
        <v>128</v>
      </c>
      <c r="E49" s="8">
        <f>$E$2-5</f>
        <v>2017</v>
      </c>
      <c r="F49" s="22"/>
      <c r="H49" s="7"/>
    </row>
    <row r="50" spans="1:8" x14ac:dyDescent="0.25">
      <c r="A50" s="79"/>
      <c r="B50" s="50"/>
      <c r="C50" s="50"/>
      <c r="D50" s="12" t="s">
        <v>128</v>
      </c>
      <c r="E50" s="8">
        <f>$E$2-4</f>
        <v>2018</v>
      </c>
      <c r="F50" s="22"/>
      <c r="H50" s="7"/>
    </row>
    <row r="51" spans="1:8" x14ac:dyDescent="0.25">
      <c r="A51" s="79"/>
      <c r="B51" s="50"/>
      <c r="C51" s="50"/>
      <c r="D51" s="12" t="s">
        <v>128</v>
      </c>
      <c r="E51" s="8">
        <f>$E$2-3</f>
        <v>2019</v>
      </c>
      <c r="F51" s="22"/>
      <c r="H51" s="7"/>
    </row>
    <row r="52" spans="1:8" x14ac:dyDescent="0.25">
      <c r="A52" s="84" t="s">
        <v>133</v>
      </c>
      <c r="B52" s="52"/>
      <c r="C52" s="51" t="s">
        <v>130</v>
      </c>
      <c r="D52" s="13" t="s">
        <v>47</v>
      </c>
      <c r="E52" s="1"/>
      <c r="F52" s="1">
        <f>IFERROR(IF(F54/F53*100&gt;=80,1,IF(F54/F53*100&lt;=30,0,(F54/F53*100-30)/50))*G52,G52/3)</f>
        <v>3.5714285714285712</v>
      </c>
      <c r="G52" s="1">
        <v>5</v>
      </c>
      <c r="H52" s="7">
        <f t="shared" si="0"/>
        <v>0.71428571428571419</v>
      </c>
    </row>
    <row r="53" spans="1:8" x14ac:dyDescent="0.25">
      <c r="A53" s="84"/>
      <c r="B53" s="52"/>
      <c r="C53" s="52"/>
      <c r="D53" s="12" t="s">
        <v>131</v>
      </c>
      <c r="E53" s="8" t="str">
        <f>"на 01.10."&amp;$E$2-3</f>
        <v>на 01.10.2019</v>
      </c>
      <c r="F53" s="22">
        <v>35</v>
      </c>
      <c r="H53" s="7"/>
    </row>
    <row r="54" spans="1:8" ht="15" customHeight="1" x14ac:dyDescent="0.25">
      <c r="A54" s="84"/>
      <c r="B54" s="52"/>
      <c r="C54" s="52"/>
      <c r="D54" s="12" t="s">
        <v>132</v>
      </c>
      <c r="E54" s="4" t="str">
        <f>"на 01.10."&amp;$E$2-2</f>
        <v>на 01.10.2020</v>
      </c>
      <c r="F54" s="22">
        <v>23</v>
      </c>
      <c r="H54" s="7"/>
    </row>
    <row r="55" spans="1:8" ht="15" customHeight="1" x14ac:dyDescent="0.25">
      <c r="A55" s="88" t="s">
        <v>59</v>
      </c>
      <c r="B55" s="91" t="s">
        <v>140</v>
      </c>
      <c r="C55" s="11" t="s">
        <v>134</v>
      </c>
      <c r="D55" s="13" t="s">
        <v>53</v>
      </c>
      <c r="E55" s="5"/>
      <c r="F55" s="1">
        <f>IFERROR(IF((F62/(F56+F59)+F63/(F57+F60)+F64/(F58+F61))/3*100&lt;=5,0,IF((F62/(F56+F59)+F63/(F57+F60)+F64/(F58+F61))/3*100&gt;=100,1,((F62/(F56+F59)+F63/(F57+F60)+F64/(F58+F61))/3*100-5)/95))*G55,"")</f>
        <v>5.5461718005586649</v>
      </c>
      <c r="G55" s="1">
        <v>8</v>
      </c>
      <c r="H55" s="7">
        <f t="shared" si="0"/>
        <v>0.69327147506983311</v>
      </c>
    </row>
    <row r="56" spans="1:8" ht="15" customHeight="1" x14ac:dyDescent="0.25">
      <c r="A56" s="88"/>
      <c r="B56" s="92"/>
      <c r="C56" s="9"/>
      <c r="D56" s="12" t="s">
        <v>54</v>
      </c>
      <c r="E56" s="8">
        <f>$E$2-5</f>
        <v>2017</v>
      </c>
      <c r="F56" s="38">
        <v>1051.2</v>
      </c>
      <c r="H56" s="7"/>
    </row>
    <row r="57" spans="1:8" ht="15" customHeight="1" x14ac:dyDescent="0.25">
      <c r="A57" s="88"/>
      <c r="B57" s="92"/>
      <c r="C57" s="9"/>
      <c r="D57" s="12" t="s">
        <v>54</v>
      </c>
      <c r="E57" s="8">
        <f>$E$2-4</f>
        <v>2018</v>
      </c>
      <c r="F57" s="38">
        <v>1047.5</v>
      </c>
      <c r="H57" s="7"/>
    </row>
    <row r="58" spans="1:8" ht="15" customHeight="1" x14ac:dyDescent="0.25">
      <c r="A58" s="88"/>
      <c r="B58" s="92"/>
      <c r="C58" s="9"/>
      <c r="D58" s="12" t="s">
        <v>54</v>
      </c>
      <c r="E58" s="8">
        <f>$E$2-3</f>
        <v>2019</v>
      </c>
      <c r="F58" s="38">
        <v>1059.5</v>
      </c>
      <c r="H58" s="7"/>
    </row>
    <row r="59" spans="1:8" ht="15" customHeight="1" x14ac:dyDescent="0.25">
      <c r="A59" s="88"/>
      <c r="B59" s="92"/>
      <c r="C59" s="9"/>
      <c r="D59" s="12" t="s">
        <v>55</v>
      </c>
      <c r="E59" s="8">
        <f>$E$2-5</f>
        <v>2017</v>
      </c>
      <c r="F59" s="38">
        <v>56.2</v>
      </c>
      <c r="H59" s="7"/>
    </row>
    <row r="60" spans="1:8" ht="15" customHeight="1" x14ac:dyDescent="0.25">
      <c r="A60" s="88"/>
      <c r="B60" s="92"/>
      <c r="C60" s="9"/>
      <c r="D60" s="12" t="s">
        <v>55</v>
      </c>
      <c r="E60" s="8">
        <f>$E$2-4</f>
        <v>2018</v>
      </c>
      <c r="F60" s="38">
        <v>54.6</v>
      </c>
      <c r="H60" s="7"/>
    </row>
    <row r="61" spans="1:8" ht="15" customHeight="1" x14ac:dyDescent="0.25">
      <c r="A61" s="88"/>
      <c r="B61" s="92"/>
      <c r="C61" s="9"/>
      <c r="D61" s="12" t="s">
        <v>55</v>
      </c>
      <c r="E61" s="8">
        <f>$E$2-3</f>
        <v>2019</v>
      </c>
      <c r="F61" s="38">
        <v>56.5</v>
      </c>
      <c r="H61" s="7"/>
    </row>
    <row r="62" spans="1:8" ht="15" customHeight="1" x14ac:dyDescent="0.25">
      <c r="A62" s="88"/>
      <c r="B62" s="92"/>
      <c r="C62" s="9"/>
      <c r="D62" s="12" t="s">
        <v>56</v>
      </c>
      <c r="E62" s="8">
        <f>$E$2-5</f>
        <v>2017</v>
      </c>
      <c r="F62" s="38">
        <v>380</v>
      </c>
      <c r="H62" s="7"/>
    </row>
    <row r="63" spans="1:8" ht="15" customHeight="1" x14ac:dyDescent="0.25">
      <c r="A63" s="88"/>
      <c r="B63" s="92"/>
      <c r="C63" s="9"/>
      <c r="D63" s="12" t="s">
        <v>56</v>
      </c>
      <c r="E63" s="8">
        <f>$E$2-4</f>
        <v>2018</v>
      </c>
      <c r="F63" s="38">
        <v>830</v>
      </c>
      <c r="H63" s="7"/>
    </row>
    <row r="64" spans="1:8" ht="15" customHeight="1" x14ac:dyDescent="0.25">
      <c r="A64" s="88"/>
      <c r="B64" s="92"/>
      <c r="C64" s="9"/>
      <c r="D64" s="12" t="s">
        <v>56</v>
      </c>
      <c r="E64" s="8">
        <f>$E$2-3</f>
        <v>2019</v>
      </c>
      <c r="F64" s="38">
        <v>1149</v>
      </c>
      <c r="H64" s="7"/>
    </row>
    <row r="65" spans="1:8" ht="15" customHeight="1" x14ac:dyDescent="0.25">
      <c r="A65" s="87" t="s">
        <v>79</v>
      </c>
      <c r="B65" s="92"/>
      <c r="C65" s="11" t="s">
        <v>135</v>
      </c>
      <c r="D65" s="35" t="s">
        <v>57</v>
      </c>
      <c r="E65" s="36"/>
      <c r="F65" s="1">
        <f>IFERROR(IF((F66/(F56+F59)+F67/(F57+F60)+F68/(F58+F61))/3&lt;=100,0,IF((F66/(F56+F59)+F67/(F57+F60)+F68/(F58+F61))/3&gt;=1000,1,((F66/(F56+F59)+F67/(F57+F60)+F68/(F58+F61))/3-100)/900))*G65," ")</f>
        <v>2.4965196272262826</v>
      </c>
      <c r="G65" s="1">
        <v>8</v>
      </c>
      <c r="H65" s="7">
        <f t="shared" si="0"/>
        <v>0.31206495340328533</v>
      </c>
    </row>
    <row r="66" spans="1:8" ht="15" customHeight="1" x14ac:dyDescent="0.25">
      <c r="A66" s="87"/>
      <c r="B66" s="92"/>
      <c r="C66" s="9"/>
      <c r="D66" s="37" t="s">
        <v>161</v>
      </c>
      <c r="E66" s="8">
        <v>2017</v>
      </c>
      <c r="F66" s="38">
        <v>265431.7</v>
      </c>
      <c r="H66" s="7"/>
    </row>
    <row r="67" spans="1:8" ht="15" customHeight="1" x14ac:dyDescent="0.25">
      <c r="A67" s="87"/>
      <c r="B67" s="92"/>
      <c r="C67" s="9"/>
      <c r="D67" s="37" t="s">
        <v>161</v>
      </c>
      <c r="E67" s="8">
        <v>2018</v>
      </c>
      <c r="F67" s="38">
        <v>382808.6</v>
      </c>
      <c r="H67" s="7"/>
    </row>
    <row r="68" spans="1:8" ht="15" customHeight="1" x14ac:dyDescent="0.25">
      <c r="A68" s="87"/>
      <c r="B68" s="92"/>
      <c r="C68" s="9"/>
      <c r="D68" s="37" t="s">
        <v>161</v>
      </c>
      <c r="E68" s="8">
        <v>2019</v>
      </c>
      <c r="F68" s="38">
        <v>619984.4</v>
      </c>
      <c r="H68" s="7"/>
    </row>
    <row r="69" spans="1:8" ht="15" customHeight="1" x14ac:dyDescent="0.25">
      <c r="A69" s="88" t="s">
        <v>78</v>
      </c>
      <c r="B69" s="92"/>
      <c r="C69" s="11" t="s">
        <v>136</v>
      </c>
      <c r="D69" s="13" t="s">
        <v>60</v>
      </c>
      <c r="E69" s="5"/>
      <c r="F69" s="1">
        <f>IF((F73+0.25*F74+0.1*F75)/(F70+F71*0.25+F72*0.1)*100&gt;=15,1,IF((F73+0.25*F74+0.1*F75)/(F70+F71*0.25+F72*0.1)*100&lt;=1,0,((F73+0.25*F74+0.1*F75)/(F70+F71*0.25+F72*0.1)*100-1)/14))*G69</f>
        <v>2.8617026630057016</v>
      </c>
      <c r="G69" s="1">
        <v>7</v>
      </c>
      <c r="H69" s="7">
        <f t="shared" si="0"/>
        <v>0.40881466614367168</v>
      </c>
    </row>
    <row r="70" spans="1:8" x14ac:dyDescent="0.25">
      <c r="A70" s="88"/>
      <c r="B70" s="92"/>
      <c r="C70" s="9"/>
      <c r="D70" s="12" t="s">
        <v>62</v>
      </c>
      <c r="E70" s="4">
        <f t="shared" ref="E70:E75" si="4">$E$2-2</f>
        <v>2020</v>
      </c>
      <c r="F70" s="22">
        <v>15227</v>
      </c>
      <c r="H70" s="7"/>
    </row>
    <row r="71" spans="1:8" x14ac:dyDescent="0.25">
      <c r="A71" s="88"/>
      <c r="B71" s="92"/>
      <c r="C71" s="9"/>
      <c r="D71" s="12" t="s">
        <v>63</v>
      </c>
      <c r="E71" s="4">
        <f t="shared" si="4"/>
        <v>2020</v>
      </c>
      <c r="F71" s="22">
        <v>879</v>
      </c>
      <c r="H71" s="7"/>
    </row>
    <row r="72" spans="1:8" x14ac:dyDescent="0.25">
      <c r="A72" s="88"/>
      <c r="B72" s="92"/>
      <c r="C72" s="9"/>
      <c r="D72" s="12" t="s">
        <v>64</v>
      </c>
      <c r="E72" s="4">
        <f t="shared" si="4"/>
        <v>2020</v>
      </c>
      <c r="F72" s="22">
        <v>4507</v>
      </c>
      <c r="H72" s="7"/>
    </row>
    <row r="73" spans="1:8" x14ac:dyDescent="0.25">
      <c r="A73" s="88"/>
      <c r="B73" s="92"/>
      <c r="C73" s="9"/>
      <c r="D73" s="12" t="s">
        <v>65</v>
      </c>
      <c r="E73" s="4">
        <f t="shared" si="4"/>
        <v>2020</v>
      </c>
      <c r="F73" s="22">
        <v>1050</v>
      </c>
      <c r="H73" s="7"/>
    </row>
    <row r="74" spans="1:8" x14ac:dyDescent="0.25">
      <c r="A74" s="88"/>
      <c r="B74" s="92"/>
      <c r="C74" s="9"/>
      <c r="D74" s="12" t="s">
        <v>66</v>
      </c>
      <c r="E74" s="4">
        <f t="shared" si="4"/>
        <v>2020</v>
      </c>
      <c r="F74" s="22">
        <v>19</v>
      </c>
      <c r="H74" s="7"/>
    </row>
    <row r="75" spans="1:8" x14ac:dyDescent="0.25">
      <c r="A75" s="88"/>
      <c r="B75" s="92"/>
      <c r="C75" s="9"/>
      <c r="D75" s="12" t="s">
        <v>67</v>
      </c>
      <c r="E75" s="4">
        <f t="shared" si="4"/>
        <v>2020</v>
      </c>
      <c r="F75" s="22">
        <v>141</v>
      </c>
      <c r="H75" s="7"/>
    </row>
    <row r="76" spans="1:8" x14ac:dyDescent="0.25">
      <c r="A76" s="89" t="s">
        <v>77</v>
      </c>
      <c r="B76" s="92"/>
      <c r="C76" s="11" t="s">
        <v>137</v>
      </c>
      <c r="D76" s="13" t="s">
        <v>68</v>
      </c>
      <c r="E76" s="5"/>
      <c r="F76" s="1">
        <f>IF((F77/(F80+F81*0.25+F82*0.1)+F78/(F83+F84*0.25+F85*0.1)+F79/(F86+0.25*F87+F88*0.1))/3&lt;=50,0,IF((F77/(F80+F81*0.25+F82*0.1)+F78/(F83+F84*0.25+F85*0.1)+F79/(F86+0.25*F87+F88*0.1))/3&gt;=500,1,((F77/(F80+F81*0.25+F82*0.1)+F78/(F83+F84*0.25+F85*0.1)+F79/(F86+0.25*F87+F88*0.1))/3-50)/450))*G76</f>
        <v>6.7346747129670161</v>
      </c>
      <c r="G76" s="1">
        <v>7</v>
      </c>
      <c r="H76" s="7">
        <f t="shared" si="0"/>
        <v>0.96209638756671656</v>
      </c>
    </row>
    <row r="77" spans="1:8" x14ac:dyDescent="0.25">
      <c r="A77" s="89"/>
      <c r="B77" s="92"/>
      <c r="C77" s="9"/>
      <c r="D77" s="12" t="s">
        <v>83</v>
      </c>
      <c r="E77" s="8">
        <f>$E$2-5</f>
        <v>2017</v>
      </c>
      <c r="F77" s="22">
        <v>5678492.5</v>
      </c>
    </row>
    <row r="78" spans="1:8" x14ac:dyDescent="0.25">
      <c r="A78" s="89"/>
      <c r="B78" s="92"/>
      <c r="C78" s="9"/>
      <c r="D78" s="12" t="s">
        <v>83</v>
      </c>
      <c r="E78" s="8">
        <f>$E$2-4</f>
        <v>2018</v>
      </c>
      <c r="F78" s="22">
        <v>6341442.5</v>
      </c>
    </row>
    <row r="79" spans="1:8" x14ac:dyDescent="0.25">
      <c r="A79" s="89"/>
      <c r="B79" s="92"/>
      <c r="C79" s="9"/>
      <c r="D79" s="12" t="s">
        <v>83</v>
      </c>
      <c r="E79" s="8">
        <f>$E$2-3</f>
        <v>2019</v>
      </c>
      <c r="F79" s="22">
        <v>7459397.7000000002</v>
      </c>
    </row>
    <row r="80" spans="1:8" x14ac:dyDescent="0.25">
      <c r="A80" s="89"/>
      <c r="B80" s="92"/>
      <c r="C80" s="9"/>
      <c r="D80" s="12" t="s">
        <v>62</v>
      </c>
      <c r="E80" s="8">
        <f>$E$2-5</f>
        <v>2017</v>
      </c>
      <c r="F80" s="22">
        <v>11921</v>
      </c>
    </row>
    <row r="81" spans="1:8" x14ac:dyDescent="0.25">
      <c r="A81" s="89"/>
      <c r="B81" s="92"/>
      <c r="C81" s="9"/>
      <c r="D81" s="12" t="s">
        <v>63</v>
      </c>
      <c r="E81" s="8">
        <f>$E$2-5</f>
        <v>2017</v>
      </c>
      <c r="F81" s="22">
        <v>78</v>
      </c>
    </row>
    <row r="82" spans="1:8" x14ac:dyDescent="0.25">
      <c r="A82" s="89"/>
      <c r="B82" s="92"/>
      <c r="C82" s="9"/>
      <c r="D82" s="12" t="s">
        <v>64</v>
      </c>
      <c r="E82" s="8">
        <f>$E$2-5</f>
        <v>2017</v>
      </c>
      <c r="F82" s="22">
        <v>6486</v>
      </c>
    </row>
    <row r="83" spans="1:8" x14ac:dyDescent="0.25">
      <c r="A83" s="89"/>
      <c r="B83" s="92"/>
      <c r="C83" s="9"/>
      <c r="D83" s="12" t="s">
        <v>62</v>
      </c>
      <c r="E83" s="8">
        <f>$E$2-4</f>
        <v>2018</v>
      </c>
      <c r="F83" s="22">
        <v>12686</v>
      </c>
    </row>
    <row r="84" spans="1:8" x14ac:dyDescent="0.25">
      <c r="A84" s="89"/>
      <c r="B84" s="92"/>
      <c r="C84" s="9"/>
      <c r="D84" s="12" t="s">
        <v>63</v>
      </c>
      <c r="E84" s="8">
        <f>$E$2-4</f>
        <v>2018</v>
      </c>
      <c r="F84" s="22">
        <v>249</v>
      </c>
    </row>
    <row r="85" spans="1:8" x14ac:dyDescent="0.25">
      <c r="A85" s="89"/>
      <c r="B85" s="92"/>
      <c r="C85" s="9"/>
      <c r="D85" s="12" t="s">
        <v>64</v>
      </c>
      <c r="E85" s="8">
        <f>$E$2-4</f>
        <v>2018</v>
      </c>
      <c r="F85" s="22">
        <v>6402</v>
      </c>
    </row>
    <row r="86" spans="1:8" x14ac:dyDescent="0.25">
      <c r="A86" s="89"/>
      <c r="B86" s="92"/>
      <c r="D86" s="12" t="s">
        <v>62</v>
      </c>
      <c r="E86" s="8">
        <f>$E$2-3</f>
        <v>2019</v>
      </c>
      <c r="F86" s="22">
        <v>13579</v>
      </c>
    </row>
    <row r="87" spans="1:8" x14ac:dyDescent="0.25">
      <c r="A87" s="89"/>
      <c r="B87" s="92"/>
      <c r="D87" s="12" t="s">
        <v>63</v>
      </c>
      <c r="E87" s="8">
        <f>$E$2-3</f>
        <v>2019</v>
      </c>
      <c r="F87" s="22">
        <v>517</v>
      </c>
    </row>
    <row r="88" spans="1:8" x14ac:dyDescent="0.25">
      <c r="A88" s="89"/>
      <c r="B88" s="92"/>
      <c r="D88" s="12" t="s">
        <v>64</v>
      </c>
      <c r="E88" s="8">
        <f>$E$2-3</f>
        <v>2019</v>
      </c>
      <c r="F88" s="22">
        <v>5241</v>
      </c>
    </row>
    <row r="89" spans="1:8" x14ac:dyDescent="0.25">
      <c r="A89" s="90" t="s">
        <v>76</v>
      </c>
      <c r="C89" s="1" t="s">
        <v>71</v>
      </c>
      <c r="D89" s="13" t="s">
        <v>70</v>
      </c>
      <c r="E89" s="5"/>
      <c r="F89" s="3">
        <f>SUM(F7,F10,F13,F15,F18,F21,F38,F42,F52,F55,F65,F69,F76,F28,F95:F99)*IFERROR(IF(1+0.5*((F90+F91*0.25+F92*0.1)/(F22+F23*0.25+F24*0.1)-0.2)/0.8&lt;1,1,1+0.5*((F90+F91*0.25+F92*0.1)/(F22+F23*0.25+F24*0.1*0.1)-0.2)/0.8),1)</f>
        <v>42.8771640418529</v>
      </c>
      <c r="G89" s="1">
        <v>100</v>
      </c>
      <c r="H89" s="7">
        <f t="shared" ref="H89" si="5">F89/G89</f>
        <v>0.428771640418529</v>
      </c>
    </row>
    <row r="90" spans="1:8" x14ac:dyDescent="0.25">
      <c r="A90" s="90"/>
      <c r="D90" s="12" t="s">
        <v>232</v>
      </c>
      <c r="E90" s="4">
        <f t="shared" ref="E90:E92" si="6">$E$2-2</f>
        <v>2020</v>
      </c>
      <c r="F90" s="22">
        <v>0</v>
      </c>
      <c r="H90" s="7"/>
    </row>
    <row r="91" spans="1:8" x14ac:dyDescent="0.25">
      <c r="A91" s="90"/>
      <c r="D91" s="12" t="s">
        <v>233</v>
      </c>
      <c r="E91" s="4">
        <f t="shared" si="6"/>
        <v>2020</v>
      </c>
      <c r="F91" s="22">
        <v>0</v>
      </c>
      <c r="H91" s="7"/>
    </row>
    <row r="92" spans="1:8" x14ac:dyDescent="0.25">
      <c r="A92" s="90"/>
      <c r="D92" s="12" t="s">
        <v>234</v>
      </c>
      <c r="E92" s="4">
        <f t="shared" si="6"/>
        <v>2020</v>
      </c>
      <c r="F92" s="22">
        <v>0</v>
      </c>
      <c r="H92" s="7"/>
    </row>
  </sheetData>
  <mergeCells count="17">
    <mergeCell ref="A21:A27"/>
    <mergeCell ref="A7:A9"/>
    <mergeCell ref="A10:A12"/>
    <mergeCell ref="A13:A14"/>
    <mergeCell ref="A15:A17"/>
    <mergeCell ref="A18:A20"/>
    <mergeCell ref="A28:A32"/>
    <mergeCell ref="A33:A37"/>
    <mergeCell ref="A38:A41"/>
    <mergeCell ref="A42:A51"/>
    <mergeCell ref="A52:A54"/>
    <mergeCell ref="B55:B88"/>
    <mergeCell ref="A65:A68"/>
    <mergeCell ref="A69:A75"/>
    <mergeCell ref="A76:A88"/>
    <mergeCell ref="A89:A92"/>
    <mergeCell ref="A55:A64"/>
  </mergeCells>
  <conditionalFormatting sqref="H1:H2 H4:H28 H38:H76">
    <cfRule type="iconSet" priority="7">
      <iconSet>
        <cfvo type="percent" val="0"/>
        <cfvo type="percent" val="33"/>
        <cfvo type="percent" val="67"/>
      </iconSet>
    </cfRule>
  </conditionalFormatting>
  <conditionalFormatting sqref="H89:H92">
    <cfRule type="iconSet" priority="6">
      <iconSet>
        <cfvo type="percent" val="0"/>
        <cfvo type="percent" val="33"/>
        <cfvo type="percent" val="67"/>
      </iconSet>
    </cfRule>
  </conditionalFormatting>
  <conditionalFormatting sqref="H29:H37">
    <cfRule type="iconSet" priority="5">
      <iconSet>
        <cfvo type="percent" val="0"/>
        <cfvo type="percent" val="33"/>
        <cfvo type="percent" val="67"/>
      </iconSet>
    </cfRule>
  </conditionalFormatting>
  <conditionalFormatting sqref="H3">
    <cfRule type="iconSet" priority="4">
      <iconSet>
        <cfvo type="percent" val="0"/>
        <cfvo type="percent" val="33"/>
        <cfvo type="percent" val="67"/>
      </iconSet>
    </cfRule>
  </conditionalFormatting>
  <pageMargins left="0.7" right="0.7" top="0.75" bottom="0.75" header="0.3" footer="0.3"/>
  <legacyDrawing r:id="rId1"/>
  <extLst>
    <ext xmlns:x14="http://schemas.microsoft.com/office/spreadsheetml/2009/9/main" uri="{78C0D931-6437-407d-A8EE-F0AAD7539E65}">
      <x14:conditionalFormattings>
        <x14:conditionalFormatting xmlns:xm="http://schemas.microsoft.com/office/excel/2006/main">
          <x14:cfRule type="expression" priority="3" id="{FD696FF0-E03F-4FD8-B08E-CD91D73C64CD}">
            <xm:f>'01.04.00'!$F$7*3='01.04.00'!$G$7</xm:f>
            <x14:dxf>
              <fill>
                <patternFill>
                  <bgColor rgb="FFFFC000"/>
                </patternFill>
              </fill>
            </x14:dxf>
          </x14:cfRule>
          <xm:sqref>F7</xm:sqref>
        </x14:conditionalFormatting>
        <x14:conditionalFormatting xmlns:xm="http://schemas.microsoft.com/office/excel/2006/main">
          <x14:cfRule type="expression" priority="1" id="{4C9B1B8F-1FAE-49AD-87B3-8A9882213664}">
            <xm:f>'01.04.00'!$F:$F*3='01.04.00'!$G:$G</xm:f>
            <x14:dxf/>
          </x14:cfRule>
          <x14:cfRule type="expression" priority="2" id="{3DB5F199-1101-47BD-A431-3D5702ABAAB8}">
            <xm:f>'01.04.00'!$F$7*3='01.04.00'!$G$7</xm:f>
            <x14:dxf/>
          </x14:cfRule>
          <xm:sqref>F1:F92</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7">
    <tabColor rgb="FF7030A0"/>
  </sheetPr>
  <dimension ref="A1:H54"/>
  <sheetViews>
    <sheetView topLeftCell="A2" workbookViewId="0">
      <selection activeCell="A2" sqref="A1:A1048576"/>
    </sheetView>
  </sheetViews>
  <sheetFormatPr defaultRowHeight="15" x14ac:dyDescent="0.25"/>
  <cols>
    <col min="1" max="1" width="70.7109375" customWidth="1"/>
    <col min="4" max="4" width="57" customWidth="1"/>
    <col min="5" max="5" width="26.140625" style="4" customWidth="1"/>
    <col min="6" max="6" width="11.42578125" customWidth="1"/>
    <col min="7" max="7" width="20" customWidth="1"/>
    <col min="8" max="8" width="16" customWidth="1"/>
  </cols>
  <sheetData>
    <row r="1" spans="1:8" x14ac:dyDescent="0.25">
      <c r="D1" s="12"/>
    </row>
    <row r="2" spans="1:8" x14ac:dyDescent="0.25">
      <c r="A2" s="1" t="s">
        <v>80</v>
      </c>
      <c r="D2" s="12" t="s">
        <v>24</v>
      </c>
      <c r="E2" s="6">
        <v>2022</v>
      </c>
    </row>
    <row r="3" spans="1:8" x14ac:dyDescent="0.25">
      <c r="A3" t="s">
        <v>81</v>
      </c>
      <c r="D3" s="12"/>
      <c r="E3" s="6" t="s">
        <v>209</v>
      </c>
    </row>
    <row r="4" spans="1:8" x14ac:dyDescent="0.25">
      <c r="D4" s="12" t="s">
        <v>75</v>
      </c>
      <c r="E4" s="10">
        <f>F47</f>
        <v>45.342425141505501</v>
      </c>
      <c r="F4" t="s">
        <v>138</v>
      </c>
    </row>
    <row r="5" spans="1:8" x14ac:dyDescent="0.25">
      <c r="D5" s="12"/>
    </row>
    <row r="6" spans="1:8" x14ac:dyDescent="0.25">
      <c r="A6" t="s">
        <v>7</v>
      </c>
      <c r="C6" s="9"/>
      <c r="D6" s="12" t="s">
        <v>25</v>
      </c>
      <c r="E6" s="4" t="s">
        <v>21</v>
      </c>
      <c r="G6" t="s">
        <v>20</v>
      </c>
      <c r="H6" t="s">
        <v>42</v>
      </c>
    </row>
    <row r="7" spans="1:8" x14ac:dyDescent="0.25">
      <c r="A7" s="95" t="s">
        <v>10</v>
      </c>
      <c r="C7" s="11" t="s">
        <v>144</v>
      </c>
      <c r="D7" s="1" t="s">
        <v>2</v>
      </c>
      <c r="E7" s="21"/>
      <c r="F7" s="11">
        <f>IF(F8/F9*100&lt;=80,0,IF(F8/F9*100&gt;=100,1,(F8/F9*100-80)/20))*G7</f>
        <v>5</v>
      </c>
      <c r="G7" s="1">
        <v>5</v>
      </c>
      <c r="H7" s="7">
        <f>F7/G7</f>
        <v>1</v>
      </c>
    </row>
    <row r="8" spans="1:8" x14ac:dyDescent="0.25">
      <c r="A8" s="95"/>
      <c r="C8" s="9"/>
      <c r="D8" t="s">
        <v>113</v>
      </c>
      <c r="E8" s="4" t="str">
        <f>$E$2-2&amp;" "&amp;$E$2-3&amp;" "&amp;$E$2-4</f>
        <v>2020 2019 2018</v>
      </c>
      <c r="F8" s="22">
        <v>7</v>
      </c>
      <c r="H8" s="7"/>
    </row>
    <row r="9" spans="1:8" x14ac:dyDescent="0.25">
      <c r="A9" s="95"/>
      <c r="C9" s="9"/>
      <c r="D9" t="s">
        <v>114</v>
      </c>
      <c r="E9" s="4" t="str">
        <f>$E$2-2&amp;" "&amp;$E$2-3&amp;" "&amp;$E$2-4</f>
        <v>2020 2019 2018</v>
      </c>
      <c r="F9" s="22">
        <v>7</v>
      </c>
      <c r="H9" s="7"/>
    </row>
    <row r="10" spans="1:8" x14ac:dyDescent="0.25">
      <c r="A10" s="81" t="s">
        <v>156</v>
      </c>
      <c r="C10" s="11" t="s">
        <v>147</v>
      </c>
      <c r="D10" s="1" t="s">
        <v>146</v>
      </c>
      <c r="E10" s="5"/>
      <c r="F10" s="1">
        <f>IFERROR(IF(F11/F12&lt;0.6,"При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целом",IF(F11/F12*100&gt;=80,1,IF(F11/F12*100&lt;=20,0,(F11/F12*100-20)/80))*G10),G10/3)</f>
        <v>8.3333333333333339</v>
      </c>
      <c r="G10" s="2">
        <v>25</v>
      </c>
      <c r="H10" s="7">
        <f t="shared" ref="H10:H47" si="0">F10/G10</f>
        <v>0.33333333333333337</v>
      </c>
    </row>
    <row r="11" spans="1:8" x14ac:dyDescent="0.25">
      <c r="A11" s="81"/>
      <c r="C11" s="9"/>
      <c r="D11" t="s">
        <v>149</v>
      </c>
      <c r="E11" s="4" t="str">
        <f>$E$2-3&amp;" "&amp;$E$2-4</f>
        <v>2019 2018</v>
      </c>
      <c r="F11" s="22"/>
      <c r="H11" s="7"/>
    </row>
    <row r="12" spans="1:8" x14ac:dyDescent="0.25">
      <c r="A12" s="81"/>
      <c r="C12" s="9"/>
      <c r="D12" t="s">
        <v>148</v>
      </c>
      <c r="E12" s="4" t="str">
        <f>$E$2-3&amp;" "&amp;$E$2-4</f>
        <v>2019 2018</v>
      </c>
      <c r="F12" s="22"/>
      <c r="H12" s="7"/>
    </row>
    <row r="13" spans="1:8" x14ac:dyDescent="0.25">
      <c r="A13" s="95" t="s">
        <v>157</v>
      </c>
      <c r="C13" s="11" t="s">
        <v>151</v>
      </c>
      <c r="D13" s="1" t="s">
        <v>150</v>
      </c>
      <c r="E13" s="5"/>
      <c r="F13" s="1">
        <f>IFERROR(IF(F11/F14&lt;0.6,"При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целом",IF(F11/F14*100&gt;=50,1,IF(F11/F14*100&lt;=10,0,(F11/F14*100-10)/40))*G10),G13/3)</f>
        <v>8.3333333333333339</v>
      </c>
      <c r="G13" s="2">
        <v>25</v>
      </c>
      <c r="H13" s="7">
        <f t="shared" si="0"/>
        <v>0.33333333333333337</v>
      </c>
    </row>
    <row r="14" spans="1:8" x14ac:dyDescent="0.25">
      <c r="A14" s="95"/>
      <c r="C14" s="9"/>
      <c r="D14" t="s">
        <v>152</v>
      </c>
      <c r="E14" s="4" t="str">
        <f>$E$2-6&amp;" "&amp;$E$2-7</f>
        <v>2016 2015</v>
      </c>
      <c r="F14" s="22">
        <v>0</v>
      </c>
      <c r="H14" s="7"/>
    </row>
    <row r="15" spans="1:8" x14ac:dyDescent="0.25">
      <c r="A15" s="81" t="s">
        <v>155</v>
      </c>
      <c r="C15" s="11" t="s">
        <v>154</v>
      </c>
      <c r="D15" s="1" t="s">
        <v>153</v>
      </c>
      <c r="E15" s="5"/>
      <c r="F15" s="1">
        <f>IFERROR(IF(OR(F17=0,F16/F17&lt;0.6),"При невозможности расчета значения показателя в качестве его нормированной оценки принимается минимальное из средних нормированных значений по субъекту РФ, федеральному округу или Российской Федерации в целом",IF(F16/F17*100&gt;=90,1,IF(F16/F17*100&lt;=30,0,(F16/F17*100-30)/60))*G15),G15/3)</f>
        <v>0.33333333333333331</v>
      </c>
      <c r="G15" s="1">
        <v>1</v>
      </c>
      <c r="H15" s="7">
        <f t="shared" si="0"/>
        <v>0.33333333333333331</v>
      </c>
    </row>
    <row r="16" spans="1:8" x14ac:dyDescent="0.25">
      <c r="A16" s="81"/>
      <c r="C16" s="9"/>
      <c r="D16" t="s">
        <v>174</v>
      </c>
      <c r="E16" s="4">
        <f>$E$2-3</f>
        <v>2019</v>
      </c>
      <c r="F16" s="22"/>
      <c r="H16" s="7"/>
    </row>
    <row r="17" spans="1:8" x14ac:dyDescent="0.25">
      <c r="A17" s="81"/>
      <c r="C17" s="9"/>
      <c r="D17" s="41" t="s">
        <v>175</v>
      </c>
      <c r="E17" s="4">
        <f>$E$2-3</f>
        <v>2019</v>
      </c>
      <c r="F17" s="22"/>
      <c r="H17" s="7"/>
    </row>
    <row r="18" spans="1:8" ht="15" customHeight="1" x14ac:dyDescent="0.25">
      <c r="A18" s="95" t="s">
        <v>59</v>
      </c>
      <c r="B18" s="93" t="s">
        <v>140</v>
      </c>
      <c r="C18" s="11" t="s">
        <v>159</v>
      </c>
      <c r="D18" s="13" t="s">
        <v>53</v>
      </c>
      <c r="E18" s="5"/>
      <c r="F18" s="1">
        <f>IFERROR(IF((F25/(F19+F22)+F26/(F20+F23)+F27/(F21+F24))/3*100&lt;=5,0,IF((F25/(F19+F22)+F26/(F20+F23)+F27/(F21+F24))/3*100&gt;=100,1,((F25/(F19+F22)+F26/(F20+F23)+F27/(F21+F24))/3*100-5)/95))*G18,"")</f>
        <v>5.5461718005586649</v>
      </c>
      <c r="G18" s="1">
        <f>IF(OR(Главная!AI13=E3,Главная!AI14=E3,Главная!AI19=E3),8,0)</f>
        <v>8</v>
      </c>
      <c r="H18" s="7">
        <f t="shared" si="0"/>
        <v>0.69327147506983311</v>
      </c>
    </row>
    <row r="19" spans="1:8" x14ac:dyDescent="0.25">
      <c r="A19" s="95"/>
      <c r="B19" s="94"/>
      <c r="C19" s="9"/>
      <c r="D19" s="12" t="s">
        <v>54</v>
      </c>
      <c r="E19" s="8">
        <f>$E$2-5</f>
        <v>2017</v>
      </c>
      <c r="F19" s="38">
        <v>1051.2</v>
      </c>
      <c r="H19" s="7"/>
    </row>
    <row r="20" spans="1:8" x14ac:dyDescent="0.25">
      <c r="A20" s="95"/>
      <c r="B20" s="94"/>
      <c r="C20" s="9"/>
      <c r="D20" s="12" t="s">
        <v>54</v>
      </c>
      <c r="E20" s="8">
        <f>$E$2-4</f>
        <v>2018</v>
      </c>
      <c r="F20" s="38">
        <v>1047.5</v>
      </c>
      <c r="H20" s="7"/>
    </row>
    <row r="21" spans="1:8" x14ac:dyDescent="0.25">
      <c r="A21" s="95"/>
      <c r="B21" s="94"/>
      <c r="C21" s="9"/>
      <c r="D21" s="12" t="s">
        <v>54</v>
      </c>
      <c r="E21" s="8">
        <f>$E$2-3</f>
        <v>2019</v>
      </c>
      <c r="F21" s="38">
        <v>1059.5</v>
      </c>
      <c r="H21" s="7"/>
    </row>
    <row r="22" spans="1:8" x14ac:dyDescent="0.25">
      <c r="A22" s="95"/>
      <c r="B22" s="94"/>
      <c r="C22" s="9"/>
      <c r="D22" s="12" t="s">
        <v>55</v>
      </c>
      <c r="E22" s="8">
        <f>$E$2-5</f>
        <v>2017</v>
      </c>
      <c r="F22" s="38">
        <v>56.2</v>
      </c>
      <c r="H22" s="7"/>
    </row>
    <row r="23" spans="1:8" x14ac:dyDescent="0.25">
      <c r="A23" s="95"/>
      <c r="B23" s="94"/>
      <c r="C23" s="9"/>
      <c r="D23" s="12" t="s">
        <v>55</v>
      </c>
      <c r="E23" s="8">
        <f>$E$2-4</f>
        <v>2018</v>
      </c>
      <c r="F23" s="38">
        <v>54.6</v>
      </c>
      <c r="H23" s="7"/>
    </row>
    <row r="24" spans="1:8" x14ac:dyDescent="0.25">
      <c r="A24" s="95"/>
      <c r="B24" s="94"/>
      <c r="C24" s="9"/>
      <c r="D24" s="12" t="s">
        <v>55</v>
      </c>
      <c r="E24" s="8">
        <f>$E$2-3</f>
        <v>2019</v>
      </c>
      <c r="F24" s="38">
        <v>56.5</v>
      </c>
      <c r="H24" s="7"/>
    </row>
    <row r="25" spans="1:8" x14ac:dyDescent="0.25">
      <c r="A25" s="95"/>
      <c r="B25" s="94"/>
      <c r="C25" s="9"/>
      <c r="D25" s="12" t="s">
        <v>56</v>
      </c>
      <c r="E25" s="8">
        <f>$E$2-5</f>
        <v>2017</v>
      </c>
      <c r="F25" s="38">
        <v>380</v>
      </c>
      <c r="H25" s="7"/>
    </row>
    <row r="26" spans="1:8" x14ac:dyDescent="0.25">
      <c r="A26" s="95"/>
      <c r="B26" s="94"/>
      <c r="C26" s="9"/>
      <c r="D26" s="12" t="s">
        <v>56</v>
      </c>
      <c r="E26" s="8">
        <f>$E$2-4</f>
        <v>2018</v>
      </c>
      <c r="F26" s="38">
        <v>830</v>
      </c>
      <c r="H26" s="7"/>
    </row>
    <row r="27" spans="1:8" x14ac:dyDescent="0.25">
      <c r="A27" s="95"/>
      <c r="B27" s="94"/>
      <c r="C27" s="9"/>
      <c r="D27" s="12" t="s">
        <v>56</v>
      </c>
      <c r="E27" s="8">
        <f>$E$2-3</f>
        <v>2019</v>
      </c>
      <c r="F27" s="38">
        <v>1149</v>
      </c>
      <c r="H27" s="7"/>
    </row>
    <row r="28" spans="1:8" x14ac:dyDescent="0.25">
      <c r="A28" s="81" t="s">
        <v>165</v>
      </c>
      <c r="B28" s="94"/>
      <c r="C28" s="11" t="s">
        <v>158</v>
      </c>
      <c r="D28" s="35" t="s">
        <v>57</v>
      </c>
      <c r="E28" s="36"/>
      <c r="F28" s="1">
        <f>IFERROR(IF((F29/(F19+F22)+F30/(F20+F23)+F31/(F21+F24))/3&lt;=100,0,IF((F29/(F19+F22)+F30/(F20+F23)+F31/(F21+F24))/3&gt;=1000,1,((F29/(F19+F22)+F30/(F20+F23)+F31/(F21+F24))/3-100)/900))*G28," ")</f>
        <v>2.4965196272262826</v>
      </c>
      <c r="G28" s="1">
        <f>IF(OR(Главная!AI15=E3,Главная!AI16=E3,Главная!AI18=E3),10,IF(Главная!AI19=E3,12,IF(OR(Главная!AI13=E3,Главная!AI14=E3),8,0)))</f>
        <v>8</v>
      </c>
      <c r="H28" s="7">
        <f t="shared" si="0"/>
        <v>0.31206495340328533</v>
      </c>
    </row>
    <row r="29" spans="1:8" x14ac:dyDescent="0.25">
      <c r="A29" s="81"/>
      <c r="B29" s="94"/>
      <c r="C29" s="9"/>
      <c r="D29" s="37" t="s">
        <v>161</v>
      </c>
      <c r="E29" s="8">
        <v>2017</v>
      </c>
      <c r="F29" s="38">
        <v>265431.7</v>
      </c>
      <c r="H29" s="7"/>
    </row>
    <row r="30" spans="1:8" x14ac:dyDescent="0.25">
      <c r="A30" s="81"/>
      <c r="B30" s="94"/>
      <c r="C30" s="9"/>
      <c r="D30" s="37" t="s">
        <v>161</v>
      </c>
      <c r="E30" s="8">
        <v>2018</v>
      </c>
      <c r="F30" s="38">
        <v>382808.6</v>
      </c>
      <c r="H30" s="7"/>
    </row>
    <row r="31" spans="1:8" x14ac:dyDescent="0.25">
      <c r="A31" s="81"/>
      <c r="B31" s="94"/>
      <c r="C31" s="9"/>
      <c r="D31" s="37" t="s">
        <v>161</v>
      </c>
      <c r="E31" s="8">
        <v>2019</v>
      </c>
      <c r="F31" s="38">
        <v>619984.4</v>
      </c>
      <c r="H31" s="7"/>
    </row>
    <row r="32" spans="1:8" x14ac:dyDescent="0.25">
      <c r="A32" s="95" t="s">
        <v>166</v>
      </c>
      <c r="B32" s="94"/>
      <c r="C32" s="11" t="s">
        <v>163</v>
      </c>
      <c r="D32" s="35" t="s">
        <v>162</v>
      </c>
      <c r="E32" s="5"/>
      <c r="F32" s="1">
        <f>IFERROR(IF(((F29-F33)/(F19+F22)+(F30-F34)/(F20+F23)+(F31-F35)/(F21+F24))/3&lt;=50,0,IF(((F29-F33)/(F19+F22)+(F30-F34)/(F20+F23)+(F31-F35)/(F21+F24))/3&gt;=500,1,(((F29-F33)/(F19+F22)+(F30-F34)/(F20+F23)+(F31-F35)/(F21+F24))/3-50)/450))*G32," ")</f>
        <v>0.5304236410253268</v>
      </c>
      <c r="G32" s="1">
        <f>IF(OR(Главная!AI15=E3,Главная!AI16=E3,Главная!AI18=E3),10,IF(Главная!AI19=E3,4,IF(OR(Главная!AI13=E3,Главная!AI14=E3),8,0)))</f>
        <v>8</v>
      </c>
      <c r="H32" s="7">
        <f t="shared" si="0"/>
        <v>6.630295512816585E-2</v>
      </c>
    </row>
    <row r="33" spans="1:8" x14ac:dyDescent="0.25">
      <c r="A33" s="95"/>
      <c r="B33" s="94"/>
      <c r="C33" s="9"/>
      <c r="D33" s="37" t="s">
        <v>160</v>
      </c>
      <c r="E33" s="8">
        <v>2017</v>
      </c>
      <c r="F33" s="38">
        <v>183704.3</v>
      </c>
      <c r="H33" s="7"/>
    </row>
    <row r="34" spans="1:8" x14ac:dyDescent="0.25">
      <c r="A34" s="95"/>
      <c r="B34" s="94"/>
      <c r="C34" s="9"/>
      <c r="D34" s="37" t="s">
        <v>160</v>
      </c>
      <c r="E34" s="8">
        <v>2018</v>
      </c>
      <c r="F34" s="22">
        <f>287544.4+37690</f>
        <v>325234.40000000002</v>
      </c>
      <c r="H34" s="7"/>
    </row>
    <row r="35" spans="1:8" x14ac:dyDescent="0.25">
      <c r="A35" s="95"/>
      <c r="B35" s="94"/>
      <c r="C35" s="9"/>
      <c r="D35" s="37" t="s">
        <v>160</v>
      </c>
      <c r="E35" s="8">
        <v>2019</v>
      </c>
      <c r="F35" s="22">
        <v>493354.8</v>
      </c>
      <c r="H35" s="7"/>
    </row>
    <row r="36" spans="1:8" x14ac:dyDescent="0.25">
      <c r="A36" s="81" t="s">
        <v>170</v>
      </c>
      <c r="B36" s="94"/>
      <c r="C36" s="11" t="s">
        <v>167</v>
      </c>
      <c r="D36" s="35" t="s">
        <v>164</v>
      </c>
      <c r="E36" s="5"/>
      <c r="F36" s="1">
        <f>IF((IF(F37&gt;=10,F40/F37,0)+IF(F38&gt;=10,F41/F38,0)+IF(F39&gt;=10,F42/F39,0))/3*100&lt;=1,0,IF((IF(F37&gt;=10,F40/F37,0)+IF(F38&gt;=10,F41/F38,0)+IF(F39&gt;=10,F42/F39,0))/3*100&gt;=15,1,((IF(F37&gt;=10,F40/F37,0)+IF(F38&gt;=10,F41/F38,0)+IF(F39&gt;=10,F42/F39,0))/3*100-1)/14))*G36</f>
        <v>6.7693100726952276</v>
      </c>
      <c r="G36" s="1">
        <f>IF(OR(Главная!AI15=E3,Главная!AI16=E3,Главная!AI18=E3),10,IF(Главная!AI19=E3,8,IF(OR(Главная!AI13=E3,Главная!AI14=E3),8,20)))</f>
        <v>8</v>
      </c>
      <c r="H36" s="7">
        <f t="shared" si="0"/>
        <v>0.84616375908690344</v>
      </c>
    </row>
    <row r="37" spans="1:8" x14ac:dyDescent="0.25">
      <c r="A37" s="81"/>
      <c r="B37" s="94"/>
      <c r="C37" s="9"/>
      <c r="D37" s="37" t="s">
        <v>168</v>
      </c>
      <c r="E37" s="8" t="str">
        <f>"на 01.01."&amp;$E$2-4</f>
        <v>на 01.01.2018</v>
      </c>
      <c r="F37" s="22">
        <v>475</v>
      </c>
      <c r="H37" s="7"/>
    </row>
    <row r="38" spans="1:8" x14ac:dyDescent="0.25">
      <c r="A38" s="81"/>
      <c r="B38" s="94"/>
      <c r="D38" s="37" t="s">
        <v>168</v>
      </c>
      <c r="E38" s="8" t="str">
        <f>"на 01.01."&amp;$E$2-3</f>
        <v>на 01.01.2019</v>
      </c>
      <c r="F38" s="22">
        <v>473</v>
      </c>
      <c r="H38" s="7"/>
    </row>
    <row r="39" spans="1:8" x14ac:dyDescent="0.25">
      <c r="A39" s="81"/>
      <c r="B39" s="94"/>
      <c r="D39" s="37" t="s">
        <v>168</v>
      </c>
      <c r="E39" s="4" t="str">
        <f>"на 01.01."&amp;$E$2-2</f>
        <v>на 01.01.2020</v>
      </c>
      <c r="F39" s="22">
        <v>469</v>
      </c>
      <c r="H39" s="7"/>
    </row>
    <row r="40" spans="1:8" x14ac:dyDescent="0.25">
      <c r="A40" s="81"/>
      <c r="B40" s="94"/>
      <c r="D40" s="37" t="s">
        <v>169</v>
      </c>
      <c r="E40" s="8" t="str">
        <f>"на 01.01."&amp;$E$2-4</f>
        <v>на 01.01.2018</v>
      </c>
      <c r="F40" s="22">
        <v>59</v>
      </c>
      <c r="H40" s="7"/>
    </row>
    <row r="41" spans="1:8" x14ac:dyDescent="0.25">
      <c r="A41" s="81"/>
      <c r="B41" s="94"/>
      <c r="D41" s="37" t="s">
        <v>169</v>
      </c>
      <c r="E41" s="8" t="str">
        <f>"на 01.01."&amp;$E$2-3</f>
        <v>на 01.01.2019</v>
      </c>
      <c r="F41" s="22">
        <v>60</v>
      </c>
      <c r="H41" s="7"/>
    </row>
    <row r="42" spans="1:8" x14ac:dyDescent="0.25">
      <c r="A42" s="81"/>
      <c r="B42" s="94"/>
      <c r="D42" s="37" t="s">
        <v>169</v>
      </c>
      <c r="E42" s="4" t="str">
        <f>"на 01.01."&amp;$E$2-2</f>
        <v>на 01.01.2020</v>
      </c>
      <c r="F42" s="22">
        <v>63</v>
      </c>
      <c r="H42" s="7"/>
    </row>
    <row r="43" spans="1:8" x14ac:dyDescent="0.25">
      <c r="A43" s="95" t="s">
        <v>173</v>
      </c>
      <c r="B43" s="94"/>
      <c r="C43" s="1" t="s">
        <v>172</v>
      </c>
      <c r="D43" s="35" t="s">
        <v>171</v>
      </c>
      <c r="E43" s="5"/>
      <c r="F43" s="1">
        <f>IF((F44/(F19+F22)+F45/(F20+F23)+F46/(F21+F24))/3&gt;=5000,1,IF((F44/(F19+F22)+F45/(F20+F23)+F46/(F21+F24))/3&lt;=1000,0,((F44/(F19+F22)+F45/(F20+F23)+F46/(F21+F24))/3-1000)/4000))*G43</f>
        <v>8</v>
      </c>
      <c r="G43" s="1">
        <f>IF(OR(Главная!AI15=E3,Главная!AI16=E3,Главная!AI18=E3),10,IF(Главная!AI19=E3,8,IF(OR(Главная!AI13=E3,Главная!AI14=E3),8,20)))</f>
        <v>8</v>
      </c>
      <c r="H43" s="7">
        <f t="shared" si="0"/>
        <v>1</v>
      </c>
    </row>
    <row r="44" spans="1:8" x14ac:dyDescent="0.25">
      <c r="A44" s="95"/>
      <c r="B44" s="94"/>
      <c r="D44" s="12" t="s">
        <v>83</v>
      </c>
      <c r="E44" s="8">
        <f>$E$2-5</f>
        <v>2017</v>
      </c>
      <c r="F44" s="22">
        <v>5678492.5</v>
      </c>
      <c r="H44" s="7"/>
    </row>
    <row r="45" spans="1:8" x14ac:dyDescent="0.25">
      <c r="A45" s="95"/>
      <c r="B45" s="94"/>
      <c r="D45" s="12" t="s">
        <v>83</v>
      </c>
      <c r="E45" s="8">
        <f>$E$2-4</f>
        <v>2018</v>
      </c>
      <c r="F45" s="22">
        <v>6341442.5</v>
      </c>
      <c r="H45" s="7"/>
    </row>
    <row r="46" spans="1:8" x14ac:dyDescent="0.25">
      <c r="A46" s="95"/>
      <c r="B46" s="94"/>
      <c r="D46" s="12" t="s">
        <v>83</v>
      </c>
      <c r="E46" s="8">
        <f>$E$2-3</f>
        <v>2019</v>
      </c>
      <c r="F46" s="22">
        <v>7459397.7000000002</v>
      </c>
      <c r="H46" s="7"/>
    </row>
    <row r="47" spans="1:8" x14ac:dyDescent="0.25">
      <c r="B47" s="42"/>
      <c r="C47" s="1" t="s">
        <v>71</v>
      </c>
      <c r="D47" s="13" t="s">
        <v>70</v>
      </c>
      <c r="E47" s="5"/>
      <c r="F47" s="1">
        <f>SUM(F7,F10,F13,F15,F18,F28,F32,F36,F43,F50:F54)</f>
        <v>45.342425141505501</v>
      </c>
      <c r="G47" s="1">
        <v>100</v>
      </c>
      <c r="H47" s="7">
        <f t="shared" si="0"/>
        <v>0.45342425141505499</v>
      </c>
    </row>
    <row r="48" spans="1:8" x14ac:dyDescent="0.25">
      <c r="B48" s="42"/>
    </row>
    <row r="49" spans="2:8" x14ac:dyDescent="0.25">
      <c r="B49" s="42"/>
      <c r="C49" s="11" t="s">
        <v>96</v>
      </c>
      <c r="D49" s="86" t="s">
        <v>97</v>
      </c>
      <c r="E49" s="86"/>
      <c r="F49" s="86"/>
      <c r="G49" s="11"/>
      <c r="H49" s="7"/>
    </row>
    <row r="50" spans="2:8" x14ac:dyDescent="0.25">
      <c r="B50" s="42"/>
      <c r="C50" s="9"/>
      <c r="D50" s="26"/>
      <c r="E50" s="27"/>
      <c r="F50" s="24"/>
      <c r="G50" s="23"/>
      <c r="H50" s="7" t="e">
        <f t="shared" ref="H50:H54" si="1">F50/G50</f>
        <v>#DIV/0!</v>
      </c>
    </row>
    <row r="51" spans="2:8" x14ac:dyDescent="0.25">
      <c r="B51" s="42"/>
      <c r="C51" s="9"/>
      <c r="D51" s="28"/>
      <c r="E51" s="27"/>
      <c r="F51" s="25"/>
      <c r="G51" s="23"/>
      <c r="H51" s="7" t="e">
        <f t="shared" si="1"/>
        <v>#DIV/0!</v>
      </c>
    </row>
    <row r="52" spans="2:8" x14ac:dyDescent="0.25">
      <c r="C52" s="9"/>
      <c r="D52" s="28"/>
      <c r="E52" s="27"/>
      <c r="F52" s="25"/>
      <c r="G52" s="23"/>
      <c r="H52" s="7" t="e">
        <f t="shared" si="1"/>
        <v>#DIV/0!</v>
      </c>
    </row>
    <row r="53" spans="2:8" x14ac:dyDescent="0.25">
      <c r="C53" s="9"/>
      <c r="D53" s="28"/>
      <c r="E53" s="27"/>
      <c r="F53" s="25"/>
      <c r="G53" s="23"/>
      <c r="H53" s="7" t="e">
        <f t="shared" si="1"/>
        <v>#DIV/0!</v>
      </c>
    </row>
    <row r="54" spans="2:8" x14ac:dyDescent="0.25">
      <c r="C54" s="9"/>
      <c r="D54" s="28"/>
      <c r="E54" s="27"/>
      <c r="F54" s="25"/>
      <c r="G54" s="23"/>
      <c r="H54" s="7" t="e">
        <f t="shared" si="1"/>
        <v>#DIV/0!</v>
      </c>
    </row>
  </sheetData>
  <mergeCells count="11">
    <mergeCell ref="B18:B46"/>
    <mergeCell ref="D49:F49"/>
    <mergeCell ref="A7:A9"/>
    <mergeCell ref="A10:A12"/>
    <mergeCell ref="A13:A14"/>
    <mergeCell ref="A15:A17"/>
    <mergeCell ref="A18:A27"/>
    <mergeCell ref="A28:A31"/>
    <mergeCell ref="A32:A35"/>
    <mergeCell ref="A36:A42"/>
    <mergeCell ref="A43:A46"/>
  </mergeCells>
  <conditionalFormatting sqref="H1:H47">
    <cfRule type="iconSet" priority="2">
      <iconSet>
        <cfvo type="percent" val="0"/>
        <cfvo type="percent" val="33"/>
        <cfvo type="percent" val="67"/>
      </iconSet>
    </cfRule>
  </conditionalFormatting>
  <conditionalFormatting sqref="H49:H54">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Главная!$AI$13:$AI$19</xm:f>
          </x14:formula1>
          <xm:sqref>E3</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8">
    <tabColor rgb="FF7030A0"/>
  </sheetPr>
  <dimension ref="A1:H54"/>
  <sheetViews>
    <sheetView workbookViewId="0">
      <selection sqref="A1:A1048576"/>
    </sheetView>
  </sheetViews>
  <sheetFormatPr defaultRowHeight="15" x14ac:dyDescent="0.25"/>
  <cols>
    <col min="1" max="1" width="70.7109375" customWidth="1"/>
    <col min="4" max="4" width="57" customWidth="1"/>
    <col min="5" max="5" width="26.140625" style="4" customWidth="1"/>
    <col min="6" max="6" width="11.42578125" customWidth="1"/>
    <col min="7" max="7" width="20" customWidth="1"/>
    <col min="8" max="8" width="16" customWidth="1"/>
  </cols>
  <sheetData>
    <row r="1" spans="1:8" x14ac:dyDescent="0.25">
      <c r="D1" s="12"/>
    </row>
    <row r="2" spans="1:8" x14ac:dyDescent="0.25">
      <c r="A2" s="1" t="s">
        <v>80</v>
      </c>
      <c r="D2" s="12" t="s">
        <v>24</v>
      </c>
      <c r="E2" s="6">
        <v>2022</v>
      </c>
    </row>
    <row r="3" spans="1:8" x14ac:dyDescent="0.25">
      <c r="A3" t="s">
        <v>81</v>
      </c>
      <c r="D3" s="12"/>
      <c r="E3" s="6" t="s">
        <v>210</v>
      </c>
    </row>
    <row r="4" spans="1:8" x14ac:dyDescent="0.25">
      <c r="D4" s="12" t="s">
        <v>75</v>
      </c>
      <c r="E4" s="10">
        <f>F47</f>
        <v>45.342425141505501</v>
      </c>
      <c r="F4" t="s">
        <v>138</v>
      </c>
    </row>
    <row r="5" spans="1:8" x14ac:dyDescent="0.25">
      <c r="D5" s="12"/>
    </row>
    <row r="6" spans="1:8" x14ac:dyDescent="0.25">
      <c r="A6" t="s">
        <v>7</v>
      </c>
      <c r="C6" s="9"/>
      <c r="D6" s="12" t="s">
        <v>25</v>
      </c>
      <c r="E6" s="4" t="s">
        <v>21</v>
      </c>
      <c r="G6" t="s">
        <v>20</v>
      </c>
      <c r="H6" t="s">
        <v>42</v>
      </c>
    </row>
    <row r="7" spans="1:8" x14ac:dyDescent="0.25">
      <c r="A7" s="95" t="s">
        <v>10</v>
      </c>
      <c r="C7" s="11" t="s">
        <v>144</v>
      </c>
      <c r="D7" s="1" t="s">
        <v>2</v>
      </c>
      <c r="E7" s="60"/>
      <c r="F7" s="11">
        <f>IF(F8/F9*100&lt;=80,0,IF(F8/F9*100&gt;=100,1,(F8/F9*100-80)/20))*G7</f>
        <v>5</v>
      </c>
      <c r="G7" s="1">
        <v>5</v>
      </c>
      <c r="H7" s="7">
        <f>F7/G7</f>
        <v>1</v>
      </c>
    </row>
    <row r="8" spans="1:8" x14ac:dyDescent="0.25">
      <c r="A8" s="95"/>
      <c r="C8" s="9"/>
      <c r="D8" t="s">
        <v>113</v>
      </c>
      <c r="E8" s="4" t="str">
        <f>$E$2-2&amp;" "&amp;$E$2-3&amp;" "&amp;$E$2-4</f>
        <v>2020 2019 2018</v>
      </c>
      <c r="F8" s="22">
        <v>13</v>
      </c>
      <c r="H8" s="7"/>
    </row>
    <row r="9" spans="1:8" x14ac:dyDescent="0.25">
      <c r="A9" s="95"/>
      <c r="C9" s="9"/>
      <c r="D9" t="s">
        <v>114</v>
      </c>
      <c r="E9" s="4" t="str">
        <f>$E$2-2&amp;" "&amp;$E$2-3&amp;" "&amp;$E$2-4</f>
        <v>2020 2019 2018</v>
      </c>
      <c r="F9" s="22">
        <v>13</v>
      </c>
      <c r="H9" s="7"/>
    </row>
    <row r="10" spans="1:8" x14ac:dyDescent="0.25">
      <c r="A10" s="81" t="s">
        <v>156</v>
      </c>
      <c r="C10" s="11" t="s">
        <v>147</v>
      </c>
      <c r="D10" s="1" t="s">
        <v>146</v>
      </c>
      <c r="E10" s="5"/>
      <c r="F10" s="1">
        <f>IFERROR(IF(F11/F12&lt;0.6,G10/3,IF(F11/F12*100&gt;=80,1,IF(F11/F12*100&lt;=20,0,(F11/F12*100-20)/80))*G10),G10/3)</f>
        <v>8.3333333333333339</v>
      </c>
      <c r="G10" s="2">
        <v>25</v>
      </c>
      <c r="H10" s="7">
        <f t="shared" ref="H10:H47" si="0">F10/G10</f>
        <v>0.33333333333333337</v>
      </c>
    </row>
    <row r="11" spans="1:8" x14ac:dyDescent="0.25">
      <c r="A11" s="81"/>
      <c r="C11" s="9"/>
      <c r="D11" t="s">
        <v>149</v>
      </c>
      <c r="E11" s="4" t="str">
        <f>$E$2-3&amp;" "&amp;$E$2-4</f>
        <v>2019 2018</v>
      </c>
      <c r="F11" s="22">
        <v>1</v>
      </c>
      <c r="H11" s="7"/>
    </row>
    <row r="12" spans="1:8" x14ac:dyDescent="0.25">
      <c r="A12" s="81"/>
      <c r="C12" s="9"/>
      <c r="D12" t="s">
        <v>148</v>
      </c>
      <c r="E12" s="4" t="str">
        <f>$E$2-3&amp;" "&amp;$E$2-4</f>
        <v>2019 2018</v>
      </c>
      <c r="F12" s="22">
        <v>4</v>
      </c>
      <c r="H12" s="7"/>
    </row>
    <row r="13" spans="1:8" x14ac:dyDescent="0.25">
      <c r="A13" s="95" t="s">
        <v>157</v>
      </c>
      <c r="C13" s="11" t="s">
        <v>151</v>
      </c>
      <c r="D13" s="1" t="s">
        <v>150</v>
      </c>
      <c r="E13" s="5"/>
      <c r="F13" s="1">
        <f>IFERROR(IF(F11/F14&lt;0.6,G13/3,IF(F11/F14*100&gt;=50,1,IF(F11/F14*100&lt;=10,0,(F11/F14*100-10)/40))*G10),G13/3)</f>
        <v>8.3333333333333339</v>
      </c>
      <c r="G13" s="2">
        <v>25</v>
      </c>
      <c r="H13" s="7">
        <f t="shared" si="0"/>
        <v>0.33333333333333337</v>
      </c>
    </row>
    <row r="14" spans="1:8" x14ac:dyDescent="0.25">
      <c r="A14" s="95"/>
      <c r="C14" s="9"/>
      <c r="D14" t="s">
        <v>152</v>
      </c>
      <c r="E14" s="4" t="str">
        <f>$E$2-6&amp;" "&amp;$E$2-7</f>
        <v>2016 2015</v>
      </c>
      <c r="F14" s="22">
        <v>0</v>
      </c>
      <c r="H14" s="7"/>
    </row>
    <row r="15" spans="1:8" x14ac:dyDescent="0.25">
      <c r="A15" s="81" t="s">
        <v>155</v>
      </c>
      <c r="C15" s="11" t="s">
        <v>154</v>
      </c>
      <c r="D15" s="1" t="s">
        <v>153</v>
      </c>
      <c r="E15" s="5"/>
      <c r="F15" s="1">
        <f>IFERROR(IF(OR(F17=0,F16/F17&lt;0.6),G15/3,IF(F16/F17*100&gt;=90,1,IF(F16/F17*100&lt;=30,0,(F16/F17*100-30)/60))*G15),G15/3)</f>
        <v>0.33333333333333331</v>
      </c>
      <c r="G15" s="1">
        <v>1</v>
      </c>
      <c r="H15" s="7">
        <f t="shared" si="0"/>
        <v>0.33333333333333331</v>
      </c>
    </row>
    <row r="16" spans="1:8" x14ac:dyDescent="0.25">
      <c r="A16" s="81"/>
      <c r="C16" s="9"/>
      <c r="D16" t="s">
        <v>174</v>
      </c>
      <c r="E16" s="4">
        <f>$E$2-3</f>
        <v>2019</v>
      </c>
      <c r="F16" s="22"/>
      <c r="H16" s="7"/>
    </row>
    <row r="17" spans="1:8" x14ac:dyDescent="0.25">
      <c r="A17" s="81"/>
      <c r="C17" s="9"/>
      <c r="D17" s="41" t="s">
        <v>175</v>
      </c>
      <c r="E17" s="4">
        <f>$E$2-3</f>
        <v>2019</v>
      </c>
      <c r="F17" s="22"/>
      <c r="H17" s="7"/>
    </row>
    <row r="18" spans="1:8" ht="15" customHeight="1" x14ac:dyDescent="0.25">
      <c r="A18" s="95" t="s">
        <v>59</v>
      </c>
      <c r="B18" s="93" t="s">
        <v>140</v>
      </c>
      <c r="C18" s="11" t="s">
        <v>159</v>
      </c>
      <c r="D18" s="13" t="s">
        <v>53</v>
      </c>
      <c r="E18" s="5"/>
      <c r="F18" s="1">
        <f>IFERROR(IF((F25/(F19+F22)+F26/(F20+F23)+F27/(F21+F24))/3*100&lt;=5,0,IF((F25/(F19+F22)+F26/(F20+F23)+F27/(F21+F24))/3*100&gt;=100,1,((F25/(F19+F22)+F26/(F20+F23)+F27/(F21+F24))/3*100-5)/95))*G18,"")</f>
        <v>5.5461718005586649</v>
      </c>
      <c r="G18" s="1">
        <f>IF(OR(Главная!AI13=E3,Главная!AI14=E3,Главная!AI19=E3),8,0)</f>
        <v>8</v>
      </c>
      <c r="H18" s="7">
        <f t="shared" si="0"/>
        <v>0.69327147506983311</v>
      </c>
    </row>
    <row r="19" spans="1:8" x14ac:dyDescent="0.25">
      <c r="A19" s="95"/>
      <c r="B19" s="94"/>
      <c r="C19" s="9"/>
      <c r="D19" s="12" t="s">
        <v>54</v>
      </c>
      <c r="E19" s="8">
        <f>$E$2-5</f>
        <v>2017</v>
      </c>
      <c r="F19" s="38">
        <v>1051.2</v>
      </c>
      <c r="H19" s="7"/>
    </row>
    <row r="20" spans="1:8" x14ac:dyDescent="0.25">
      <c r="A20" s="95"/>
      <c r="B20" s="94"/>
      <c r="C20" s="9"/>
      <c r="D20" s="12" t="s">
        <v>54</v>
      </c>
      <c r="E20" s="8">
        <f>$E$2-4</f>
        <v>2018</v>
      </c>
      <c r="F20" s="38">
        <v>1047.5</v>
      </c>
      <c r="H20" s="7"/>
    </row>
    <row r="21" spans="1:8" x14ac:dyDescent="0.25">
      <c r="A21" s="95"/>
      <c r="B21" s="94"/>
      <c r="C21" s="9"/>
      <c r="D21" s="12" t="s">
        <v>54</v>
      </c>
      <c r="E21" s="8">
        <f>$E$2-3</f>
        <v>2019</v>
      </c>
      <c r="F21" s="38">
        <v>1059.5</v>
      </c>
      <c r="H21" s="7"/>
    </row>
    <row r="22" spans="1:8" x14ac:dyDescent="0.25">
      <c r="A22" s="95"/>
      <c r="B22" s="94"/>
      <c r="C22" s="9"/>
      <c r="D22" s="12" t="s">
        <v>55</v>
      </c>
      <c r="E22" s="8">
        <f>$E$2-5</f>
        <v>2017</v>
      </c>
      <c r="F22" s="38">
        <v>56.2</v>
      </c>
      <c r="H22" s="7"/>
    </row>
    <row r="23" spans="1:8" x14ac:dyDescent="0.25">
      <c r="A23" s="95"/>
      <c r="B23" s="94"/>
      <c r="C23" s="9"/>
      <c r="D23" s="12" t="s">
        <v>55</v>
      </c>
      <c r="E23" s="8">
        <f>$E$2-4</f>
        <v>2018</v>
      </c>
      <c r="F23" s="38">
        <v>54.6</v>
      </c>
      <c r="H23" s="7"/>
    </row>
    <row r="24" spans="1:8" x14ac:dyDescent="0.25">
      <c r="A24" s="95"/>
      <c r="B24" s="94"/>
      <c r="C24" s="9"/>
      <c r="D24" s="12" t="s">
        <v>55</v>
      </c>
      <c r="E24" s="8">
        <f>$E$2-3</f>
        <v>2019</v>
      </c>
      <c r="F24" s="38">
        <v>56.5</v>
      </c>
      <c r="H24" s="7"/>
    </row>
    <row r="25" spans="1:8" x14ac:dyDescent="0.25">
      <c r="A25" s="95"/>
      <c r="B25" s="94"/>
      <c r="C25" s="9"/>
      <c r="D25" s="12" t="s">
        <v>56</v>
      </c>
      <c r="E25" s="8">
        <f>$E$2-5</f>
        <v>2017</v>
      </c>
      <c r="F25" s="38">
        <v>380</v>
      </c>
      <c r="H25" s="7"/>
    </row>
    <row r="26" spans="1:8" x14ac:dyDescent="0.25">
      <c r="A26" s="95"/>
      <c r="B26" s="94"/>
      <c r="C26" s="9"/>
      <c r="D26" s="12" t="s">
        <v>56</v>
      </c>
      <c r="E26" s="8">
        <f>$E$2-4</f>
        <v>2018</v>
      </c>
      <c r="F26" s="38">
        <v>830</v>
      </c>
      <c r="H26" s="7"/>
    </row>
    <row r="27" spans="1:8" x14ac:dyDescent="0.25">
      <c r="A27" s="95"/>
      <c r="B27" s="94"/>
      <c r="C27" s="9"/>
      <c r="D27" s="12" t="s">
        <v>56</v>
      </c>
      <c r="E27" s="8">
        <f>$E$2-3</f>
        <v>2019</v>
      </c>
      <c r="F27" s="38">
        <v>1149</v>
      </c>
      <c r="H27" s="7"/>
    </row>
    <row r="28" spans="1:8" x14ac:dyDescent="0.25">
      <c r="A28" s="81" t="s">
        <v>165</v>
      </c>
      <c r="B28" s="94"/>
      <c r="C28" s="11" t="s">
        <v>158</v>
      </c>
      <c r="D28" s="35" t="s">
        <v>57</v>
      </c>
      <c r="E28" s="36"/>
      <c r="F28" s="1">
        <f>IFERROR(IF((F29/(F19+F22)+F30/(F20+F23)+F31/(F21+F24))/3&lt;=100,0,IF((F29/(F19+F22)+F30/(F20+F23)+F31/(F21+F24))/3&gt;=1000,1,((F29/(F19+F22)+F30/(F20+F23)+F31/(F21+F24))/3-100)/900))*G28," ")</f>
        <v>2.4965196272262826</v>
      </c>
      <c r="G28" s="1">
        <f>IF(OR(Главная!AI15=E3,Главная!AI16=E3,Главная!AI18=E3),10,IF(Главная!AI19=E3,12,IF(OR(Главная!AI13=E3,Главная!AI14=E3),8,0)))</f>
        <v>8</v>
      </c>
      <c r="H28" s="7">
        <f t="shared" si="0"/>
        <v>0.31206495340328533</v>
      </c>
    </row>
    <row r="29" spans="1:8" x14ac:dyDescent="0.25">
      <c r="A29" s="81"/>
      <c r="B29" s="94"/>
      <c r="C29" s="9"/>
      <c r="D29" s="37" t="s">
        <v>161</v>
      </c>
      <c r="E29" s="8">
        <v>2017</v>
      </c>
      <c r="F29" s="38">
        <v>265431.7</v>
      </c>
      <c r="H29" s="7"/>
    </row>
    <row r="30" spans="1:8" x14ac:dyDescent="0.25">
      <c r="A30" s="81"/>
      <c r="B30" s="94"/>
      <c r="C30" s="9"/>
      <c r="D30" s="37" t="s">
        <v>161</v>
      </c>
      <c r="E30" s="8">
        <v>2018</v>
      </c>
      <c r="F30" s="38">
        <v>382808.6</v>
      </c>
      <c r="H30" s="7"/>
    </row>
    <row r="31" spans="1:8" x14ac:dyDescent="0.25">
      <c r="A31" s="81"/>
      <c r="B31" s="94"/>
      <c r="C31" s="9"/>
      <c r="D31" s="37" t="s">
        <v>161</v>
      </c>
      <c r="E31" s="8">
        <v>2019</v>
      </c>
      <c r="F31" s="38">
        <v>619984.4</v>
      </c>
      <c r="H31" s="7"/>
    </row>
    <row r="32" spans="1:8" x14ac:dyDescent="0.25">
      <c r="A32" s="95" t="s">
        <v>166</v>
      </c>
      <c r="B32" s="94"/>
      <c r="C32" s="11" t="s">
        <v>163</v>
      </c>
      <c r="D32" s="35" t="s">
        <v>162</v>
      </c>
      <c r="E32" s="5"/>
      <c r="F32" s="1">
        <f>IFERROR(IF(((F29-F33)/(F19+F22)+(F30-F34)/(F20+F23)+(F31-F35)/(F21+F24))/3&lt;=50,0,IF(((F29-F33)/(F19+F22)+(F30-F34)/(F20+F23)+(F31-F35)/(F21+F24))/3&gt;=500,1,(((F29-F33)/(F19+F22)+(F30-F34)/(F20+F23)+(F31-F35)/(F21+F24))/3-50)/450))*G32," ")</f>
        <v>0.5304236410253268</v>
      </c>
      <c r="G32" s="1">
        <f>IF(OR(Главная!AI15=E3,Главная!AI16=E3,Главная!AI18=E3),10,IF(Главная!AI19=E3,4,IF(OR(Главная!AI13=E3,Главная!AI14=E3),8,0)))</f>
        <v>8</v>
      </c>
      <c r="H32" s="7">
        <f t="shared" si="0"/>
        <v>6.630295512816585E-2</v>
      </c>
    </row>
    <row r="33" spans="1:8" x14ac:dyDescent="0.25">
      <c r="A33" s="95"/>
      <c r="B33" s="94"/>
      <c r="C33" s="9"/>
      <c r="D33" s="37" t="s">
        <v>160</v>
      </c>
      <c r="E33" s="8">
        <v>2017</v>
      </c>
      <c r="F33" s="38">
        <v>183704.3</v>
      </c>
      <c r="H33" s="7"/>
    </row>
    <row r="34" spans="1:8" x14ac:dyDescent="0.25">
      <c r="A34" s="95"/>
      <c r="B34" s="94"/>
      <c r="C34" s="9"/>
      <c r="D34" s="37" t="s">
        <v>160</v>
      </c>
      <c r="E34" s="8">
        <v>2018</v>
      </c>
      <c r="F34" s="22">
        <f>287544.4+37690</f>
        <v>325234.40000000002</v>
      </c>
      <c r="H34" s="7"/>
    </row>
    <row r="35" spans="1:8" x14ac:dyDescent="0.25">
      <c r="A35" s="95"/>
      <c r="B35" s="94"/>
      <c r="C35" s="9"/>
      <c r="D35" s="37" t="s">
        <v>160</v>
      </c>
      <c r="E35" s="8">
        <v>2019</v>
      </c>
      <c r="F35" s="22">
        <v>493354.8</v>
      </c>
      <c r="H35" s="7"/>
    </row>
    <row r="36" spans="1:8" x14ac:dyDescent="0.25">
      <c r="A36" s="81" t="s">
        <v>170</v>
      </c>
      <c r="B36" s="94"/>
      <c r="C36" s="11" t="s">
        <v>167</v>
      </c>
      <c r="D36" s="35" t="s">
        <v>164</v>
      </c>
      <c r="E36" s="5"/>
      <c r="F36" s="1">
        <f>IF((IF(F37&gt;=10,F40/F37,0)+IF(F38&gt;=10,F41/F38,0)+IF(F39&gt;=10,F42/F39,0))/3*100&lt;=1,0,IF((IF(F37&gt;=10,F40/F37,0)+IF(F38&gt;=10,F41/F38,0)+IF(F39&gt;=10,F42/F39,0))/3*100&gt;=15,1,((IF(F37&gt;=10,F40/F37,0)+IF(F38&gt;=10,F41/F38,0)+IF(F39&gt;=10,F42/F39,0))/3*100-1)/14))*G36</f>
        <v>6.7693100726952276</v>
      </c>
      <c r="G36" s="1">
        <f>IF(OR(Главная!AI15=E3,Главная!AI16=E3,Главная!AI18=E3),10,IF(Главная!AI19=E3,8,IF(OR(Главная!AI13=E3,Главная!AI14=E3),8,20)))</f>
        <v>8</v>
      </c>
      <c r="H36" s="7">
        <f t="shared" si="0"/>
        <v>0.84616375908690344</v>
      </c>
    </row>
    <row r="37" spans="1:8" x14ac:dyDescent="0.25">
      <c r="A37" s="81"/>
      <c r="B37" s="94"/>
      <c r="C37" s="9"/>
      <c r="D37" s="37" t="s">
        <v>168</v>
      </c>
      <c r="E37" s="8" t="str">
        <f>"на 01.01."&amp;$E$2-4</f>
        <v>на 01.01.2018</v>
      </c>
      <c r="F37" s="22">
        <v>475</v>
      </c>
      <c r="H37" s="7"/>
    </row>
    <row r="38" spans="1:8" x14ac:dyDescent="0.25">
      <c r="A38" s="81"/>
      <c r="B38" s="94"/>
      <c r="D38" s="37" t="s">
        <v>168</v>
      </c>
      <c r="E38" s="8" t="str">
        <f>"на 01.01."&amp;$E$2-3</f>
        <v>на 01.01.2019</v>
      </c>
      <c r="F38" s="22">
        <v>473</v>
      </c>
      <c r="H38" s="7"/>
    </row>
    <row r="39" spans="1:8" x14ac:dyDescent="0.25">
      <c r="A39" s="81"/>
      <c r="B39" s="94"/>
      <c r="D39" s="37" t="s">
        <v>168</v>
      </c>
      <c r="E39" s="4" t="str">
        <f>"на 01.01."&amp;$E$2-2</f>
        <v>на 01.01.2020</v>
      </c>
      <c r="F39" s="22">
        <v>469</v>
      </c>
      <c r="H39" s="7"/>
    </row>
    <row r="40" spans="1:8" x14ac:dyDescent="0.25">
      <c r="A40" s="81"/>
      <c r="B40" s="94"/>
      <c r="D40" s="37" t="s">
        <v>169</v>
      </c>
      <c r="E40" s="8" t="str">
        <f>"на 01.01."&amp;$E$2-4</f>
        <v>на 01.01.2018</v>
      </c>
      <c r="F40" s="22">
        <v>59</v>
      </c>
      <c r="H40" s="7"/>
    </row>
    <row r="41" spans="1:8" x14ac:dyDescent="0.25">
      <c r="A41" s="81"/>
      <c r="B41" s="94"/>
      <c r="D41" s="37" t="s">
        <v>169</v>
      </c>
      <c r="E41" s="8" t="str">
        <f>"на 01.01."&amp;$E$2-3</f>
        <v>на 01.01.2019</v>
      </c>
      <c r="F41" s="22">
        <v>60</v>
      </c>
      <c r="H41" s="7"/>
    </row>
    <row r="42" spans="1:8" x14ac:dyDescent="0.25">
      <c r="A42" s="81"/>
      <c r="B42" s="94"/>
      <c r="D42" s="37" t="s">
        <v>169</v>
      </c>
      <c r="E42" s="4" t="str">
        <f>"на 01.01."&amp;$E$2-2</f>
        <v>на 01.01.2020</v>
      </c>
      <c r="F42" s="22">
        <v>63</v>
      </c>
      <c r="H42" s="7"/>
    </row>
    <row r="43" spans="1:8" x14ac:dyDescent="0.25">
      <c r="A43" s="95" t="s">
        <v>173</v>
      </c>
      <c r="B43" s="94"/>
      <c r="C43" s="1" t="s">
        <v>172</v>
      </c>
      <c r="D43" s="35" t="s">
        <v>171</v>
      </c>
      <c r="E43" s="5"/>
      <c r="F43" s="1">
        <f>IF((F44/(F19+F22)+F45/(F20+F23)+F46/(F21+F24))/3&gt;=5000,1,IF((F44/(F19+F22)+F45/(F20+F23)+F46/(F21+F24))/3&lt;=1000,0,((F44/(F19+F22)+F45/(F20+F23)+F46/(F21+F24))/3-1000)/4000))*G43</f>
        <v>8</v>
      </c>
      <c r="G43" s="1">
        <f>IF(OR(Главная!AI15=E3,Главная!AI16=E3,Главная!AI18=E3),10,IF(Главная!AI19=E3,8,IF(OR(Главная!AI13=E3,Главная!AI14=E3),8,20)))</f>
        <v>8</v>
      </c>
      <c r="H43" s="7">
        <f t="shared" si="0"/>
        <v>1</v>
      </c>
    </row>
    <row r="44" spans="1:8" x14ac:dyDescent="0.25">
      <c r="A44" s="95"/>
      <c r="B44" s="94"/>
      <c r="D44" s="12" t="s">
        <v>83</v>
      </c>
      <c r="E44" s="8">
        <f>$E$2-5</f>
        <v>2017</v>
      </c>
      <c r="F44" s="22">
        <v>5678492.5</v>
      </c>
      <c r="H44" s="7"/>
    </row>
    <row r="45" spans="1:8" x14ac:dyDescent="0.25">
      <c r="A45" s="95"/>
      <c r="B45" s="94"/>
      <c r="D45" s="12" t="s">
        <v>83</v>
      </c>
      <c r="E45" s="8">
        <f>$E$2-4</f>
        <v>2018</v>
      </c>
      <c r="F45" s="22">
        <v>6341442.5</v>
      </c>
      <c r="H45" s="7"/>
    </row>
    <row r="46" spans="1:8" x14ac:dyDescent="0.25">
      <c r="A46" s="95"/>
      <c r="B46" s="94"/>
      <c r="D46" s="12" t="s">
        <v>83</v>
      </c>
      <c r="E46" s="8">
        <f>$E$2-3</f>
        <v>2019</v>
      </c>
      <c r="F46" s="22">
        <v>7459397.7000000002</v>
      </c>
      <c r="H46" s="7"/>
    </row>
    <row r="47" spans="1:8" x14ac:dyDescent="0.25">
      <c r="B47" s="42"/>
      <c r="C47" s="1" t="s">
        <v>71</v>
      </c>
      <c r="D47" s="13" t="s">
        <v>70</v>
      </c>
      <c r="E47" s="5"/>
      <c r="F47" s="1">
        <f>SUM(F7,F10,F13,F15,F18,F28,F32,F36,F43,F50:F54)</f>
        <v>45.342425141505501</v>
      </c>
      <c r="G47" s="1">
        <v>100</v>
      </c>
      <c r="H47" s="7">
        <f t="shared" si="0"/>
        <v>0.45342425141505499</v>
      </c>
    </row>
    <row r="48" spans="1:8" x14ac:dyDescent="0.25">
      <c r="B48" s="42"/>
    </row>
    <row r="49" spans="2:8" x14ac:dyDescent="0.25">
      <c r="B49" s="42"/>
      <c r="C49" s="11" t="s">
        <v>96</v>
      </c>
      <c r="D49" s="86" t="s">
        <v>97</v>
      </c>
      <c r="E49" s="86"/>
      <c r="F49" s="86"/>
      <c r="G49" s="11"/>
      <c r="H49" s="7"/>
    </row>
    <row r="50" spans="2:8" x14ac:dyDescent="0.25">
      <c r="B50" s="42"/>
      <c r="C50" s="9"/>
      <c r="D50" s="26"/>
      <c r="E50" s="27"/>
      <c r="F50" s="24"/>
      <c r="G50" s="23"/>
      <c r="H50" s="7" t="e">
        <f t="shared" ref="H50:H54" si="1">F50/G50</f>
        <v>#DIV/0!</v>
      </c>
    </row>
    <row r="51" spans="2:8" x14ac:dyDescent="0.25">
      <c r="B51" s="42"/>
      <c r="C51" s="9"/>
      <c r="D51" s="28"/>
      <c r="E51" s="27"/>
      <c r="F51" s="25"/>
      <c r="G51" s="23"/>
      <c r="H51" s="7" t="e">
        <f t="shared" si="1"/>
        <v>#DIV/0!</v>
      </c>
    </row>
    <row r="52" spans="2:8" x14ac:dyDescent="0.25">
      <c r="C52" s="9"/>
      <c r="D52" s="28"/>
      <c r="E52" s="27"/>
      <c r="F52" s="25"/>
      <c r="G52" s="23"/>
      <c r="H52" s="7" t="e">
        <f t="shared" si="1"/>
        <v>#DIV/0!</v>
      </c>
    </row>
    <row r="53" spans="2:8" x14ac:dyDescent="0.25">
      <c r="C53" s="9"/>
      <c r="D53" s="28"/>
      <c r="E53" s="27"/>
      <c r="F53" s="25"/>
      <c r="G53" s="23"/>
      <c r="H53" s="7" t="e">
        <f t="shared" si="1"/>
        <v>#DIV/0!</v>
      </c>
    </row>
    <row r="54" spans="2:8" x14ac:dyDescent="0.25">
      <c r="C54" s="9"/>
      <c r="D54" s="28"/>
      <c r="E54" s="27"/>
      <c r="F54" s="25"/>
      <c r="G54" s="23"/>
      <c r="H54" s="7" t="e">
        <f t="shared" si="1"/>
        <v>#DIV/0!</v>
      </c>
    </row>
  </sheetData>
  <mergeCells count="11">
    <mergeCell ref="A43:A46"/>
    <mergeCell ref="B18:B46"/>
    <mergeCell ref="D49:F49"/>
    <mergeCell ref="A7:A9"/>
    <mergeCell ref="A10:A12"/>
    <mergeCell ref="A13:A14"/>
    <mergeCell ref="A15:A17"/>
    <mergeCell ref="A18:A27"/>
    <mergeCell ref="A28:A31"/>
    <mergeCell ref="A32:A35"/>
    <mergeCell ref="A36:A42"/>
  </mergeCells>
  <conditionalFormatting sqref="H1:H47">
    <cfRule type="iconSet" priority="2">
      <iconSet>
        <cfvo type="percent" val="0"/>
        <cfvo type="percent" val="33"/>
        <cfvo type="percent" val="67"/>
      </iconSet>
    </cfRule>
  </conditionalFormatting>
  <conditionalFormatting sqref="H49:H54">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Главная!$AI$13:$AI$19</xm:f>
          </x14:formula1>
          <xm:sqref>E3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tabColor rgb="FF92D050"/>
  </sheetPr>
  <dimension ref="A2:H97"/>
  <sheetViews>
    <sheetView topLeftCell="A26" workbookViewId="0">
      <selection activeCell="D89" sqref="D89"/>
    </sheetView>
  </sheetViews>
  <sheetFormatPr defaultRowHeight="15" x14ac:dyDescent="0.25"/>
  <cols>
    <col min="1" max="1" width="55" customWidth="1"/>
    <col min="2" max="2" width="12.5703125" customWidth="1"/>
    <col min="3" max="3" width="83.140625" style="12" customWidth="1"/>
    <col min="4" max="4" width="49.140625" style="4" customWidth="1"/>
    <col min="5" max="5" width="11.42578125" customWidth="1"/>
    <col min="6" max="6" width="20" customWidth="1"/>
    <col min="7" max="7" width="16" customWidth="1"/>
    <col min="8" max="8" width="37.42578125" customWidth="1"/>
  </cols>
  <sheetData>
    <row r="2" spans="1:7" x14ac:dyDescent="0.25">
      <c r="A2" s="1" t="s">
        <v>80</v>
      </c>
      <c r="C2" s="12" t="s">
        <v>24</v>
      </c>
      <c r="D2" s="43">
        <v>2022</v>
      </c>
    </row>
    <row r="3" spans="1:7" x14ac:dyDescent="0.25">
      <c r="A3" t="s">
        <v>81</v>
      </c>
      <c r="C3" s="12" t="s">
        <v>191</v>
      </c>
      <c r="D3" s="58" t="s">
        <v>181</v>
      </c>
      <c r="E3" s="57" t="s">
        <v>220</v>
      </c>
    </row>
    <row r="4" spans="1:7" x14ac:dyDescent="0.25">
      <c r="C4" s="12" t="s">
        <v>75</v>
      </c>
      <c r="D4" s="10">
        <f>E83</f>
        <v>62.695505478220589</v>
      </c>
    </row>
    <row r="6" spans="1:7" x14ac:dyDescent="0.25">
      <c r="A6" t="s">
        <v>7</v>
      </c>
      <c r="C6" s="12" t="s">
        <v>25</v>
      </c>
      <c r="D6" s="4" t="s">
        <v>21</v>
      </c>
      <c r="F6" t="s">
        <v>20</v>
      </c>
      <c r="G6" t="s">
        <v>42</v>
      </c>
    </row>
    <row r="7" spans="1:7" x14ac:dyDescent="0.25">
      <c r="A7" s="79" t="s">
        <v>9</v>
      </c>
      <c r="B7" s="49" t="s">
        <v>0</v>
      </c>
      <c r="C7" s="13" t="s">
        <v>1</v>
      </c>
      <c r="D7" s="5"/>
      <c r="E7" s="1">
        <f>IF(E8&gt;=100,1,IF(E8&lt;=40,0,(E8-40)/60))*F7</f>
        <v>12.857000000000001</v>
      </c>
      <c r="F7" s="2">
        <v>23</v>
      </c>
      <c r="G7" s="7">
        <f>E7/F7</f>
        <v>0.55900000000000005</v>
      </c>
    </row>
    <row r="8" spans="1:7" x14ac:dyDescent="0.25">
      <c r="A8" s="79"/>
      <c r="B8" s="50"/>
      <c r="C8" s="12" t="s">
        <v>4</v>
      </c>
      <c r="D8" s="4">
        <f>$D$2-2</f>
        <v>2020</v>
      </c>
      <c r="E8" s="22">
        <v>73.540000000000006</v>
      </c>
      <c r="G8" s="7"/>
    </row>
    <row r="9" spans="1:7" x14ac:dyDescent="0.25">
      <c r="A9" s="81" t="s">
        <v>10</v>
      </c>
      <c r="B9" s="47" t="s">
        <v>3</v>
      </c>
      <c r="C9" s="13" t="s">
        <v>2</v>
      </c>
      <c r="D9" s="5"/>
      <c r="E9" s="1">
        <f>IF(E10/E11*100&gt;=100,1,IF(E10/E11*100&lt;=80,0,((E10/E11*100)-80)/20))*F9</f>
        <v>3</v>
      </c>
      <c r="F9" s="46">
        <v>3</v>
      </c>
      <c r="G9" s="7">
        <f t="shared" ref="G9:G38" si="0">E9/F9</f>
        <v>1</v>
      </c>
    </row>
    <row r="10" spans="1:7" x14ac:dyDescent="0.25">
      <c r="A10" s="81"/>
      <c r="B10" s="48"/>
      <c r="C10" s="12" t="s">
        <v>23</v>
      </c>
      <c r="D10" s="4" t="str">
        <f>$D$2-2&amp;" "&amp;$D$2-3&amp;" "&amp;$D$2-4</f>
        <v>2020 2019 2018</v>
      </c>
      <c r="E10" s="22">
        <v>271</v>
      </c>
      <c r="G10" s="7"/>
    </row>
    <row r="11" spans="1:7" x14ac:dyDescent="0.25">
      <c r="A11" s="81"/>
      <c r="B11" s="48"/>
      <c r="C11" s="12" t="s">
        <v>22</v>
      </c>
      <c r="D11" s="4" t="str">
        <f>$D$2-2&amp;" "&amp;$D$2-3&amp;" "&amp;$D$2-4</f>
        <v>2020 2019 2018</v>
      </c>
      <c r="E11" s="22">
        <v>271</v>
      </c>
      <c r="G11" s="7"/>
    </row>
    <row r="12" spans="1:7" x14ac:dyDescent="0.25">
      <c r="A12" s="79" t="s">
        <v>8</v>
      </c>
      <c r="B12" s="49" t="s">
        <v>6</v>
      </c>
      <c r="C12" s="13" t="s">
        <v>5</v>
      </c>
      <c r="D12" s="5"/>
      <c r="E12" s="1">
        <f>IF(E14/E13&gt;=0.5,1,IF(E14/E13&lt;=0,0,(E14/E13/0.5)))*F12</f>
        <v>0.1871345029239766</v>
      </c>
      <c r="F12" s="46">
        <v>4</v>
      </c>
      <c r="G12" s="7">
        <f t="shared" si="0"/>
        <v>4.6783625730994149E-2</v>
      </c>
    </row>
    <row r="13" spans="1:7" x14ac:dyDescent="0.25">
      <c r="A13" s="79"/>
      <c r="B13" s="50"/>
      <c r="C13" s="12" t="s">
        <v>11</v>
      </c>
      <c r="D13" s="4">
        <f>$D$2-2</f>
        <v>2020</v>
      </c>
      <c r="E13" s="22">
        <v>171</v>
      </c>
      <c r="G13" s="7"/>
    </row>
    <row r="14" spans="1:7" x14ac:dyDescent="0.25">
      <c r="A14" s="79"/>
      <c r="B14" s="50"/>
      <c r="C14" s="12" t="s">
        <v>12</v>
      </c>
      <c r="D14" s="4">
        <f>$D$2-2</f>
        <v>2020</v>
      </c>
      <c r="E14" s="22">
        <v>4</v>
      </c>
      <c r="G14" s="7"/>
    </row>
    <row r="15" spans="1:7" x14ac:dyDescent="0.25">
      <c r="A15" s="81" t="s">
        <v>17</v>
      </c>
      <c r="B15" s="47" t="s">
        <v>13</v>
      </c>
      <c r="C15" s="13" t="s">
        <v>14</v>
      </c>
      <c r="D15" s="5"/>
      <c r="E15" s="1">
        <f>IF(E16/E17&gt;=1,1,IF(E16/E17&lt;=0,0,(E16/E17)))*F15</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1</v>
      </c>
      <c r="G17" s="7"/>
    </row>
    <row r="18" spans="1:7" x14ac:dyDescent="0.25">
      <c r="A18" s="79" t="s">
        <v>217</v>
      </c>
      <c r="B18" s="49" t="s">
        <v>19</v>
      </c>
      <c r="C18" s="13" t="s">
        <v>18</v>
      </c>
      <c r="D18" s="5"/>
      <c r="E18" s="1">
        <f>IF(IF(E19+E22*0.25+E25*0.1&lt;=0,0,(((E20+0.25*E23+0.1*E26)+3*(E21+0.25*E24+0.1*E27))/(E19+E22*0.25+E25*0.1)))&gt;=0.25,1,IF(IF(E19+E22*0.25+E25*0.1&lt;=0,1,(((E20+0.25*E23+0.1*E26)+3*(E21+0.25*E24+0.1*E27))/(E19+E22*0.25+E25*0.1)))&lt;=0,0,IF(E19+E22*0.25+E25*0.1&lt;=0,1,(((E20+0.25*E23+0.1*E26)+3*(E21+0.25*E24+0.1*E27))/(E19+E22*0.25+E25*0.1))/0.25)))*F18</f>
        <v>3.4152306837131738</v>
      </c>
      <c r="F18" s="11">
        <f>IF(OR(D3=Главная!AA14,D3=Главная!AA15,D3=Главная!AA17,D3=Главная!AA18,D3=Главная!AA21),6,9)</f>
        <v>6</v>
      </c>
      <c r="G18" s="7">
        <f t="shared" si="0"/>
        <v>0.56920511395219564</v>
      </c>
    </row>
    <row r="19" spans="1:7" x14ac:dyDescent="0.25">
      <c r="A19" s="79"/>
      <c r="B19" s="50"/>
      <c r="C19" s="12" t="s">
        <v>26</v>
      </c>
      <c r="D19" s="4">
        <f t="shared" ref="D19:D41" si="1">$D$2-2</f>
        <v>2020</v>
      </c>
      <c r="E19" s="22">
        <v>423</v>
      </c>
      <c r="G19" s="7"/>
    </row>
    <row r="20" spans="1:7" x14ac:dyDescent="0.25">
      <c r="A20" s="79"/>
      <c r="B20" s="50"/>
      <c r="C20" s="12" t="s">
        <v>27</v>
      </c>
      <c r="D20" s="4">
        <f t="shared" si="1"/>
        <v>2020</v>
      </c>
      <c r="E20" s="22">
        <v>55</v>
      </c>
      <c r="G20" s="7"/>
    </row>
    <row r="21" spans="1:7" x14ac:dyDescent="0.25">
      <c r="A21" s="79"/>
      <c r="B21" s="50"/>
      <c r="C21" s="12" t="s">
        <v>28</v>
      </c>
      <c r="D21" s="4">
        <f t="shared" si="1"/>
        <v>2020</v>
      </c>
      <c r="E21" s="22">
        <v>3</v>
      </c>
      <c r="G21" s="7"/>
    </row>
    <row r="22" spans="1:7" x14ac:dyDescent="0.25">
      <c r="A22" s="79"/>
      <c r="B22" s="50"/>
      <c r="C22" s="12" t="s">
        <v>29</v>
      </c>
      <c r="D22" s="4">
        <f t="shared" si="1"/>
        <v>2020</v>
      </c>
      <c r="E22" s="22">
        <v>63</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110</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0</v>
      </c>
      <c r="G27" s="7"/>
    </row>
    <row r="28" spans="1:7" x14ac:dyDescent="0.25">
      <c r="A28" s="77" t="s">
        <v>143</v>
      </c>
      <c r="B28" s="47" t="s">
        <v>85</v>
      </c>
      <c r="C28" s="13" t="s">
        <v>84</v>
      </c>
      <c r="E28" s="11">
        <f>IFERROR(IF(IF(AND(E35+0.25*E36+0.1*E37=0,0.25*(E29+0.25*E30+0.1*E31)+(E32+0.25*E33+0.1*E34)&gt;0),1,(0.25*(E29+0.25*E30+0.1*E31)+(E32+0.25*E33+0.1*E34))/(E35+0.25*E36+0.1*E37))&gt;=0.2,1,IF(IF(E35+0.25*E36+0.1*E37=0,1,(0.25*(E29+0.25*E30+0.1*E31)+(E32+0.25*E33+0.1*E34))/(E35+0.25*E36+0.1*E37))&lt;=0,0,IF(E35+0.25*E36+0.1*E37=0,1,(0.25*(E29+0.25*E30+0.1*E31)+(E32+0.25*E33+0.1*E34))/(E35+0.25*E36+0.1*E37)/0.2)))*F28," ")</f>
        <v>0.95468053491827631</v>
      </c>
      <c r="F28" s="1">
        <f>IF(OR(D3=Главная!AA14,D3=Главная!AA15,D3=Главная!AA17,D3=Главная!AA18,D3=Главная!AA21),6,0)</f>
        <v>6</v>
      </c>
      <c r="G28" s="7">
        <f t="shared" si="0"/>
        <v>0.15911342248637939</v>
      </c>
    </row>
    <row r="29" spans="1:7" x14ac:dyDescent="0.25">
      <c r="A29" s="77"/>
      <c r="B29" s="48"/>
      <c r="C29" s="12" t="s">
        <v>86</v>
      </c>
      <c r="D29" s="14">
        <f>$D$2-3</f>
        <v>2019</v>
      </c>
      <c r="E29" s="22">
        <v>24</v>
      </c>
      <c r="G29" s="7"/>
    </row>
    <row r="30" spans="1:7" x14ac:dyDescent="0.25">
      <c r="A30" s="77"/>
      <c r="B30" s="48"/>
      <c r="C30" s="12" t="s">
        <v>87</v>
      </c>
      <c r="D30" s="14">
        <f t="shared" ref="D30:D34" si="2">$D$2-3</f>
        <v>2019</v>
      </c>
      <c r="E30" s="22">
        <v>161</v>
      </c>
      <c r="G30" s="7"/>
    </row>
    <row r="31" spans="1:7" x14ac:dyDescent="0.25">
      <c r="A31" s="77"/>
      <c r="B31" s="48"/>
      <c r="C31" s="12" t="s">
        <v>88</v>
      </c>
      <c r="D31" s="14">
        <f t="shared" si="2"/>
        <v>2019</v>
      </c>
      <c r="E31" s="22">
        <v>0</v>
      </c>
      <c r="G31" s="7"/>
    </row>
    <row r="32" spans="1:7" ht="39.75" customHeight="1" x14ac:dyDescent="0.25">
      <c r="A32" s="77"/>
      <c r="B32" s="48"/>
      <c r="C32" s="12" t="s">
        <v>89</v>
      </c>
      <c r="D32" s="14">
        <f t="shared" si="2"/>
        <v>2019</v>
      </c>
      <c r="E32" s="22">
        <v>0</v>
      </c>
      <c r="G32" s="7"/>
    </row>
    <row r="33" spans="1:7" x14ac:dyDescent="0.25">
      <c r="A33" s="77" t="s">
        <v>142</v>
      </c>
      <c r="B33" s="48"/>
      <c r="C33" s="12" t="s">
        <v>90</v>
      </c>
      <c r="D33" s="14">
        <f t="shared" si="2"/>
        <v>2019</v>
      </c>
      <c r="E33" s="22">
        <v>0</v>
      </c>
      <c r="G33" s="7"/>
    </row>
    <row r="34" spans="1:7" x14ac:dyDescent="0.25">
      <c r="A34" s="77"/>
      <c r="B34" s="48"/>
      <c r="C34" s="12" t="s">
        <v>91</v>
      </c>
      <c r="D34" s="14">
        <f t="shared" si="2"/>
        <v>2019</v>
      </c>
      <c r="E34" s="22">
        <v>0</v>
      </c>
      <c r="G34" s="7"/>
    </row>
    <row r="35" spans="1:7" x14ac:dyDescent="0.25">
      <c r="A35" s="77"/>
      <c r="B35" s="48"/>
      <c r="C35" s="12" t="s">
        <v>92</v>
      </c>
      <c r="D35" s="4">
        <f t="shared" ref="D35:D37" si="3">$D$2-2</f>
        <v>2020</v>
      </c>
      <c r="E35" s="22">
        <f>E19+E20</f>
        <v>478</v>
      </c>
      <c r="G35" s="7"/>
    </row>
    <row r="36" spans="1:7" x14ac:dyDescent="0.25">
      <c r="A36" s="77"/>
      <c r="B36" s="48"/>
      <c r="C36" s="12" t="s">
        <v>93</v>
      </c>
      <c r="D36" s="4">
        <f t="shared" si="3"/>
        <v>2020</v>
      </c>
      <c r="E36" s="22">
        <f>E22+E23</f>
        <v>63</v>
      </c>
      <c r="G36" s="7"/>
    </row>
    <row r="37" spans="1:7" x14ac:dyDescent="0.25">
      <c r="A37" s="77"/>
      <c r="B37" s="48"/>
      <c r="C37" s="12" t="s">
        <v>94</v>
      </c>
      <c r="D37" s="4">
        <f t="shared" si="3"/>
        <v>2020</v>
      </c>
      <c r="E37" s="22">
        <f>E25+E26</f>
        <v>110</v>
      </c>
      <c r="G37" s="7"/>
    </row>
    <row r="38" spans="1:7" x14ac:dyDescent="0.25">
      <c r="A38" s="78" t="s">
        <v>41</v>
      </c>
      <c r="B38" s="49" t="s">
        <v>36</v>
      </c>
      <c r="C38" s="13" t="s">
        <v>37</v>
      </c>
      <c r="D38" s="5"/>
      <c r="E38" s="1">
        <f>IF(((E39+E40*0.25+E41*0.1)/(E19+E22*0.25+E25*0.1))&gt;=0.5,1,IF((E39+E40*0.25+E41*0.1)/(E19+E22*0.25+E25*0.1)&lt;=0,0,((E39+E40*0.25+E41*0.1)/(E19+E22*0.25+E25*0.1)/0.5)))*F38</f>
        <v>0.4002223457476376</v>
      </c>
      <c r="F38" s="11">
        <f>IF(OR(D3=Главная!AA14,D3=Главная!AA15,D3=Главная!AA17,D3=Главная!AA18,D3=Главная!AA21),6,9)</f>
        <v>6</v>
      </c>
      <c r="G38" s="7">
        <f t="shared" si="0"/>
        <v>6.6703724291272928E-2</v>
      </c>
    </row>
    <row r="39" spans="1:7" x14ac:dyDescent="0.25">
      <c r="A39" s="78"/>
      <c r="B39" s="50"/>
      <c r="C39" s="12" t="s">
        <v>38</v>
      </c>
      <c r="D39" s="4">
        <f t="shared" si="1"/>
        <v>2020</v>
      </c>
      <c r="E39" s="22">
        <v>15</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0</v>
      </c>
      <c r="G41" s="7"/>
    </row>
    <row r="42" spans="1:7" ht="15" customHeight="1" x14ac:dyDescent="0.25">
      <c r="A42" s="77" t="s">
        <v>145</v>
      </c>
      <c r="B42" s="76" t="s">
        <v>44</v>
      </c>
      <c r="C42" s="13" t="s">
        <v>43</v>
      </c>
      <c r="D42" s="5"/>
      <c r="E42" s="1" t="str">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f>
        <v/>
      </c>
      <c r="F42" s="2">
        <v>25</v>
      </c>
      <c r="G42" s="7" t="e">
        <f>E42/F42</f>
        <v>#VALUE!</v>
      </c>
    </row>
    <row r="43" spans="1:7" x14ac:dyDescent="0.25">
      <c r="A43" s="77"/>
      <c r="B43" s="76" t="s">
        <v>218</v>
      </c>
      <c r="C43" s="12" t="s">
        <v>46</v>
      </c>
      <c r="D43" s="4" t="str">
        <f>$D$2-4&amp;" "&amp;$D$2-5&amp;" "&amp;$D$2-6</f>
        <v>2018 2017 2016</v>
      </c>
      <c r="E43" s="22"/>
    </row>
    <row r="44" spans="1:7" x14ac:dyDescent="0.25">
      <c r="A44" s="77"/>
      <c r="B44" s="76"/>
      <c r="C44" s="12" t="s">
        <v>45</v>
      </c>
      <c r="D44" s="4" t="str">
        <f>$D$2-3&amp;" "&amp;$D$2-4&amp;" "&amp;$D$2-5</f>
        <v>2019 2018 2017</v>
      </c>
      <c r="E44" s="22"/>
    </row>
    <row r="45" spans="1:7" x14ac:dyDescent="0.25">
      <c r="A45" s="79" t="s">
        <v>219</v>
      </c>
      <c r="B45" s="49" t="s">
        <v>48</v>
      </c>
      <c r="C45" s="13" t="s">
        <v>47</v>
      </c>
      <c r="D45" s="5"/>
      <c r="E45" s="1">
        <f>IF(E47/E46*100&lt;=30,0,IF(E47/E46*100&gt;=60,1,(E47/E46*100-30)/30))*F45</f>
        <v>5</v>
      </c>
      <c r="F45" s="46">
        <v>5</v>
      </c>
      <c r="G45" s="7">
        <f t="shared" ref="G45" si="4">E45/F45</f>
        <v>1</v>
      </c>
    </row>
    <row r="46" spans="1:7" x14ac:dyDescent="0.25">
      <c r="A46" s="79"/>
      <c r="B46" s="50"/>
      <c r="C46" s="12" t="s">
        <v>49</v>
      </c>
      <c r="D46" s="8">
        <f>$D$2-5</f>
        <v>2017</v>
      </c>
      <c r="E46" s="22">
        <v>75</v>
      </c>
    </row>
    <row r="47" spans="1:7" x14ac:dyDescent="0.25">
      <c r="A47" s="80"/>
      <c r="B47" s="50"/>
      <c r="C47" s="12" t="s">
        <v>50</v>
      </c>
      <c r="D47" s="4">
        <f t="shared" ref="D47" si="5">$D$2-2</f>
        <v>2020</v>
      </c>
      <c r="E47" s="29">
        <v>48</v>
      </c>
    </row>
    <row r="48" spans="1:7" s="56" customFormat="1" ht="15" customHeight="1" x14ac:dyDescent="0.25">
      <c r="A48" s="71" t="s">
        <v>224</v>
      </c>
      <c r="B48" s="72"/>
      <c r="C48" s="72"/>
      <c r="D48" s="72"/>
      <c r="E48" s="72"/>
      <c r="F48" s="72"/>
      <c r="G48" s="73"/>
    </row>
    <row r="49" spans="1:8" ht="15" customHeight="1" x14ac:dyDescent="0.25">
      <c r="A49" s="74" t="s">
        <v>59</v>
      </c>
      <c r="B49" s="59" t="s">
        <v>52</v>
      </c>
      <c r="C49" s="30" t="s">
        <v>53</v>
      </c>
      <c r="D49" s="31"/>
      <c r="E49" s="32">
        <f>IFERROR(IF((E56/(E50+E53)+E57/(E51+E54)+E58/(E52+E55))/3*100&lt;=5,0,IF((E56/(E50+E53)+E57/(E51+E54)+E58/(E52+E55))/3*100&gt;=100,1,((E56/(E50+E53)+E57/(E51+E54)+E58/(E52+E55))/3*100-5)/95))*F49,"")</f>
        <v>3.4663573753491654</v>
      </c>
      <c r="F49" s="32">
        <f>IF(OR(Главная!AA13=D3,Главная!AA14=D3,Главная!AA15=D3,Главная!AA16=D3,Главная!AA23=D3),5,0)</f>
        <v>5</v>
      </c>
      <c r="G49" s="33">
        <f t="shared" ref="G49" si="6">E49/F49</f>
        <v>0.69327147506983311</v>
      </c>
      <c r="H49" s="34"/>
    </row>
    <row r="50" spans="1:8" x14ac:dyDescent="0.25">
      <c r="A50" s="75"/>
      <c r="B50" s="55"/>
      <c r="C50" s="12" t="s">
        <v>54</v>
      </c>
      <c r="D50" s="8">
        <f>$D$2-5</f>
        <v>2017</v>
      </c>
      <c r="E50" s="22">
        <v>1051.2</v>
      </c>
    </row>
    <row r="51" spans="1:8" x14ac:dyDescent="0.25">
      <c r="A51" s="75"/>
      <c r="B51" s="55"/>
      <c r="C51" s="12" t="s">
        <v>54</v>
      </c>
      <c r="D51" s="8">
        <f>$D$2-4</f>
        <v>2018</v>
      </c>
      <c r="E51" s="22">
        <v>1047.5</v>
      </c>
    </row>
    <row r="52" spans="1:8" x14ac:dyDescent="0.25">
      <c r="A52" s="75"/>
      <c r="B52" s="55"/>
      <c r="C52" s="12" t="s">
        <v>54</v>
      </c>
      <c r="D52" s="8">
        <f>$D$2-3</f>
        <v>2019</v>
      </c>
      <c r="E52" s="22">
        <v>1059.5</v>
      </c>
    </row>
    <row r="53" spans="1:8" x14ac:dyDescent="0.25">
      <c r="A53" s="75"/>
      <c r="B53" s="55"/>
      <c r="C53" s="12" t="s">
        <v>55</v>
      </c>
      <c r="D53" s="8">
        <f>$D$2-5</f>
        <v>2017</v>
      </c>
      <c r="E53" s="22">
        <v>56.2</v>
      </c>
    </row>
    <row r="54" spans="1:8" x14ac:dyDescent="0.25">
      <c r="A54" s="75"/>
      <c r="B54" s="55"/>
      <c r="C54" s="12" t="s">
        <v>55</v>
      </c>
      <c r="D54" s="8">
        <f>$D$2-4</f>
        <v>2018</v>
      </c>
      <c r="E54" s="22">
        <v>54.6</v>
      </c>
    </row>
    <row r="55" spans="1:8" x14ac:dyDescent="0.25">
      <c r="A55" s="75"/>
      <c r="B55" s="55"/>
      <c r="C55" s="12" t="s">
        <v>55</v>
      </c>
      <c r="D55" s="8">
        <f>$D$2-3</f>
        <v>2019</v>
      </c>
      <c r="E55" s="22">
        <v>56.5</v>
      </c>
    </row>
    <row r="56" spans="1:8" x14ac:dyDescent="0.25">
      <c r="A56" s="75"/>
      <c r="B56" s="55"/>
      <c r="C56" s="12" t="s">
        <v>56</v>
      </c>
      <c r="D56" s="8">
        <f>$D$2-5</f>
        <v>2017</v>
      </c>
      <c r="E56" s="22">
        <v>380</v>
      </c>
    </row>
    <row r="57" spans="1:8" x14ac:dyDescent="0.25">
      <c r="A57" s="75"/>
      <c r="B57" s="55"/>
      <c r="C57" s="12" t="s">
        <v>56</v>
      </c>
      <c r="D57" s="8">
        <f>$D$2-4</f>
        <v>2018</v>
      </c>
      <c r="E57" s="22">
        <v>830</v>
      </c>
      <c r="F57" s="9"/>
    </row>
    <row r="58" spans="1:8" x14ac:dyDescent="0.25">
      <c r="A58" s="75"/>
      <c r="B58" s="55"/>
      <c r="C58" s="12" t="s">
        <v>56</v>
      </c>
      <c r="D58" s="8">
        <f>$D$2-3</f>
        <v>2019</v>
      </c>
      <c r="E58" s="22">
        <v>1149</v>
      </c>
      <c r="F58" s="9"/>
    </row>
    <row r="59" spans="1:8" x14ac:dyDescent="0.25">
      <c r="A59" s="82" t="s">
        <v>79</v>
      </c>
      <c r="B59" s="51" t="s">
        <v>58</v>
      </c>
      <c r="C59" s="13" t="s">
        <v>57</v>
      </c>
      <c r="D59" s="5"/>
      <c r="E59" s="1">
        <f>IFERROR(IF((E60/(E50+E53)+E61/(E51+E54)+E62/(E52+E55))/3&lt;=100,0,IF((E60/(E50+E53)+E61/(E51+E54)+E62/(E52+E55))/3&gt;=1000,1,((E60/(E50+E53)+E61/(E51+E54)+E62/(E52+E55))/3-100)/900))*F59," ")</f>
        <v>1.5603247670164266</v>
      </c>
      <c r="F59" s="11">
        <f>IF(OR(Главная!AA17=D3,Главная!AA20=D3),7,IF(OR(Главная!AA13=D3,Главная!AA14=D3,Главная!AA15=D3,Главная!AA16=D3,Главная!AA23=D3),5,0))</f>
        <v>5</v>
      </c>
      <c r="G59" s="7">
        <f t="shared" ref="G59" si="7">E59/F59</f>
        <v>0.31206495340328533</v>
      </c>
    </row>
    <row r="60" spans="1:8" x14ac:dyDescent="0.25">
      <c r="A60" s="82"/>
      <c r="B60" s="52"/>
      <c r="C60" s="12" t="s">
        <v>82</v>
      </c>
      <c r="D60" s="8">
        <f>$D$2-5</f>
        <v>2017</v>
      </c>
      <c r="E60" s="22">
        <v>265431.7</v>
      </c>
      <c r="F60" s="9"/>
    </row>
    <row r="61" spans="1:8" x14ac:dyDescent="0.25">
      <c r="A61" s="82"/>
      <c r="B61" s="52"/>
      <c r="C61" s="12" t="s">
        <v>82</v>
      </c>
      <c r="D61" s="8">
        <f>$D$2-4</f>
        <v>2018</v>
      </c>
      <c r="E61" s="22">
        <v>382808.6</v>
      </c>
      <c r="F61" s="9"/>
    </row>
    <row r="62" spans="1:8" x14ac:dyDescent="0.25">
      <c r="A62" s="82"/>
      <c r="B62" s="52"/>
      <c r="C62" s="12" t="s">
        <v>82</v>
      </c>
      <c r="D62" s="8">
        <f>$D$2-3</f>
        <v>2019</v>
      </c>
      <c r="E62" s="22">
        <v>619984.4</v>
      </c>
      <c r="F62" s="9"/>
    </row>
    <row r="63" spans="1:8" x14ac:dyDescent="0.25">
      <c r="A63" s="83" t="s">
        <v>78</v>
      </c>
      <c r="B63" s="2" t="s">
        <v>61</v>
      </c>
      <c r="C63" s="13" t="s">
        <v>60</v>
      </c>
      <c r="D63" s="5"/>
      <c r="E63" s="1">
        <f>IF((E67+0.25*E68+0.1*E69)/(E64+E65*0.25+E66*0.1)*100&gt;=15,1,IF((E67+0.25*E68+0.1*E69)/(E64+E65*0.25+E66*0.1)*100&lt;=1,0,((E67+0.25*E68+0.1*E69)/(E64+E65*0.25+E66*0.1)*100-1)/14))*F63</f>
        <v>2.0440733307183585</v>
      </c>
      <c r="F63" s="11">
        <f>IF(OR(Главная!AA17=D3,Главная!AA20=D3,Главная!AA18=D3),6,IF(OR(Главная!AA13=D3,Главная!AA14=D3,Главная!AA15=D3,Главная!AA16=D3,Главная!AA23=D3),5,10))</f>
        <v>5</v>
      </c>
      <c r="G63" s="7">
        <f t="shared" ref="G63:G93" si="8">E63/F63</f>
        <v>0.40881466614367168</v>
      </c>
    </row>
    <row r="64" spans="1:8"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4.8104819378335826</v>
      </c>
      <c r="F70" s="11">
        <f>IF(OR(Главная!AA17=D3,Главная!AA20=D3,Главная!AA18=D3),7,IF(OR(Главная!AA13=D3,Главная!AA14=D3,Главная!AA15=D3,Главная!AA16=D3,Главная!AA23=D3),5,10))</f>
        <v>5</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SUM(E7,E9,E12,E15,E18,E38,E42,E45,E49,E59,E63,E70,E28,E89:E93)*(IF(1+0.5*((E84+E85*0.25+E86*0.1)/(E19+E22*0.25+E25*0.1)-0.2)/0.8&lt;1,1,1+0.5*((E84+E85*0.25+E86*0.1)/(E19+E22*0.25+E25*0.1)-0.2)/0.8))</f>
        <v>62.695505478220589</v>
      </c>
      <c r="F83">
        <v>100</v>
      </c>
      <c r="G83" s="7">
        <f t="shared" si="8"/>
        <v>0.62695505478220592</v>
      </c>
    </row>
    <row r="84" spans="1:7" x14ac:dyDescent="0.25">
      <c r="A84" s="85"/>
      <c r="B84" s="54"/>
      <c r="C84" s="12" t="s">
        <v>72</v>
      </c>
      <c r="D84" s="4">
        <f t="shared" ref="D84:D86" si="10">$D$2-2</f>
        <v>2020</v>
      </c>
      <c r="E84" s="22">
        <v>4</v>
      </c>
      <c r="G84" s="7"/>
    </row>
    <row r="85" spans="1:7" x14ac:dyDescent="0.25">
      <c r="A85" s="85"/>
      <c r="B85" s="54"/>
      <c r="C85" s="12" t="s">
        <v>73</v>
      </c>
      <c r="D85" s="4">
        <f t="shared" si="10"/>
        <v>2020</v>
      </c>
      <c r="E85" s="22">
        <v>1</v>
      </c>
      <c r="G85" s="7"/>
    </row>
    <row r="86" spans="1:7" x14ac:dyDescent="0.25">
      <c r="A86" s="85"/>
      <c r="B86" s="54"/>
      <c r="C86" s="12" t="s">
        <v>74</v>
      </c>
      <c r="D86" s="4">
        <f t="shared" si="10"/>
        <v>2020</v>
      </c>
      <c r="E86" s="22">
        <v>2</v>
      </c>
      <c r="G86" s="7"/>
    </row>
    <row r="87" spans="1:7" x14ac:dyDescent="0.25">
      <c r="G87" s="7"/>
    </row>
    <row r="88" spans="1:7" x14ac:dyDescent="0.25">
      <c r="A88" s="9"/>
      <c r="B88" s="11" t="s">
        <v>96</v>
      </c>
      <c r="C88" s="86" t="s">
        <v>97</v>
      </c>
      <c r="D88" s="86"/>
      <c r="E88" s="86"/>
      <c r="F88" s="11"/>
      <c r="G88" s="7"/>
    </row>
    <row r="89" spans="1:7" x14ac:dyDescent="0.25">
      <c r="A89" s="9"/>
      <c r="B89" s="9"/>
      <c r="C89" s="64" t="s">
        <v>43</v>
      </c>
      <c r="D89" s="27"/>
      <c r="E89" s="24">
        <v>25</v>
      </c>
      <c r="F89" s="23">
        <v>25</v>
      </c>
      <c r="G89" s="7">
        <f t="shared" si="8"/>
        <v>1</v>
      </c>
    </row>
    <row r="90" spans="1:7" x14ac:dyDescent="0.25">
      <c r="A90" s="9"/>
      <c r="B90" s="9"/>
      <c r="C90" s="28"/>
      <c r="D90" s="27"/>
      <c r="E90" s="25"/>
      <c r="F90" s="23"/>
      <c r="G90" s="7" t="e">
        <f t="shared" si="8"/>
        <v>#DIV/0!</v>
      </c>
    </row>
    <row r="91" spans="1:7" x14ac:dyDescent="0.25">
      <c r="A91" s="9"/>
      <c r="B91" s="9"/>
      <c r="C91" s="28"/>
      <c r="D91" s="27"/>
      <c r="E91" s="25"/>
      <c r="F91" s="23"/>
      <c r="G91" s="7" t="e">
        <f t="shared" si="8"/>
        <v>#DIV/0!</v>
      </c>
    </row>
    <row r="92" spans="1:7" x14ac:dyDescent="0.25">
      <c r="A92" s="9"/>
      <c r="B92" s="9"/>
      <c r="C92" s="28"/>
      <c r="D92" s="27"/>
      <c r="E92" s="25"/>
      <c r="F92" s="23"/>
      <c r="G92" s="7" t="e">
        <f t="shared" si="8"/>
        <v>#DIV/0!</v>
      </c>
    </row>
    <row r="93" spans="1:7" x14ac:dyDescent="0.25">
      <c r="A93" s="9"/>
      <c r="B93" s="9"/>
      <c r="C93" s="28"/>
      <c r="D93" s="27"/>
      <c r="E93" s="25"/>
      <c r="F93" s="23"/>
      <c r="G93" s="7" t="e">
        <f t="shared" si="8"/>
        <v>#DIV/0!</v>
      </c>
    </row>
    <row r="94" spans="1:7" x14ac:dyDescent="0.25">
      <c r="A94" s="9"/>
      <c r="B94" s="9"/>
      <c r="C94" s="16"/>
      <c r="D94" s="17"/>
      <c r="E94" s="9"/>
      <c r="F94" s="9"/>
      <c r="G94" s="9"/>
    </row>
    <row r="95" spans="1:7" x14ac:dyDescent="0.25">
      <c r="B95" s="9"/>
      <c r="C95" s="16"/>
      <c r="D95" s="15"/>
      <c r="E95" s="9"/>
      <c r="F95" s="9"/>
      <c r="G95" s="9"/>
    </row>
    <row r="96" spans="1:7" x14ac:dyDescent="0.25">
      <c r="B96" s="9"/>
      <c r="C96" s="16"/>
      <c r="D96" s="15"/>
      <c r="E96" s="9"/>
      <c r="F96" s="9"/>
      <c r="G96" s="9"/>
    </row>
    <row r="97" spans="2:7" x14ac:dyDescent="0.25">
      <c r="B97" s="9"/>
      <c r="C97" s="16"/>
      <c r="D97" s="15"/>
      <c r="E97" s="9"/>
      <c r="F97" s="9"/>
      <c r="G97" s="9"/>
    </row>
  </sheetData>
  <mergeCells count="18">
    <mergeCell ref="C88:E88"/>
    <mergeCell ref="A33:A37"/>
    <mergeCell ref="A38:A41"/>
    <mergeCell ref="A42:A44"/>
    <mergeCell ref="B42:B44"/>
    <mergeCell ref="A45:A47"/>
    <mergeCell ref="A48:G48"/>
    <mergeCell ref="A49:A58"/>
    <mergeCell ref="A59:A62"/>
    <mergeCell ref="A63:A69"/>
    <mergeCell ref="A70:A82"/>
    <mergeCell ref="A83:A86"/>
    <mergeCell ref="A28:A32"/>
    <mergeCell ref="A7:A8"/>
    <mergeCell ref="A9:A11"/>
    <mergeCell ref="A12:A14"/>
    <mergeCell ref="A15:A17"/>
    <mergeCell ref="A18:A27"/>
  </mergeCells>
  <conditionalFormatting sqref="G1:G47 G49:G1048576">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Главная!$AA$13:$AA$23</xm:f>
          </x14:formula1>
          <xm:sqref>D3</xm:sqref>
        </x14:dataValidation>
      </x14:dataValidations>
    </ext>
  </extLst>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9">
    <tabColor rgb="FF7030A0"/>
  </sheetPr>
  <dimension ref="A1:H54"/>
  <sheetViews>
    <sheetView workbookViewId="0">
      <selection sqref="A1:A1048576"/>
    </sheetView>
  </sheetViews>
  <sheetFormatPr defaultRowHeight="15" x14ac:dyDescent="0.25"/>
  <cols>
    <col min="1" max="1" width="70.7109375" customWidth="1"/>
    <col min="4" max="4" width="57" customWidth="1"/>
    <col min="5" max="5" width="26.140625" style="4" customWidth="1"/>
    <col min="6" max="6" width="11.42578125" customWidth="1"/>
    <col min="7" max="7" width="20" customWidth="1"/>
    <col min="8" max="8" width="16" customWidth="1"/>
  </cols>
  <sheetData>
    <row r="1" spans="1:8" x14ac:dyDescent="0.25">
      <c r="D1" s="12"/>
    </row>
    <row r="2" spans="1:8" x14ac:dyDescent="0.25">
      <c r="A2" s="1" t="s">
        <v>80</v>
      </c>
      <c r="D2" s="12" t="s">
        <v>24</v>
      </c>
      <c r="E2" s="6">
        <v>2022</v>
      </c>
    </row>
    <row r="3" spans="1:8" x14ac:dyDescent="0.25">
      <c r="A3" t="s">
        <v>81</v>
      </c>
      <c r="D3" s="12"/>
      <c r="E3" s="6" t="s">
        <v>211</v>
      </c>
    </row>
    <row r="4" spans="1:8" x14ac:dyDescent="0.25">
      <c r="D4" s="12" t="s">
        <v>75</v>
      </c>
      <c r="E4" s="10">
        <f>F47</f>
        <v>44.245316676183549</v>
      </c>
      <c r="F4" t="s">
        <v>138</v>
      </c>
    </row>
    <row r="5" spans="1:8" x14ac:dyDescent="0.25">
      <c r="D5" s="12"/>
    </row>
    <row r="6" spans="1:8" x14ac:dyDescent="0.25">
      <c r="A6" t="s">
        <v>7</v>
      </c>
      <c r="C6" s="9"/>
      <c r="D6" s="12" t="s">
        <v>25</v>
      </c>
      <c r="E6" s="4" t="s">
        <v>21</v>
      </c>
      <c r="G6" t="s">
        <v>20</v>
      </c>
      <c r="H6" t="s">
        <v>42</v>
      </c>
    </row>
    <row r="7" spans="1:8" x14ac:dyDescent="0.25">
      <c r="A7" s="95" t="s">
        <v>10</v>
      </c>
      <c r="C7" s="11" t="s">
        <v>144</v>
      </c>
      <c r="D7" s="1" t="s">
        <v>2</v>
      </c>
      <c r="E7" s="60"/>
      <c r="F7" s="11">
        <f>IF(F8/F9*100&lt;=80,0,IF(F8/F9*100&gt;=100,1,(F8/F9*100-80)/20))*G7</f>
        <v>5</v>
      </c>
      <c r="G7" s="1">
        <v>5</v>
      </c>
      <c r="H7" s="7">
        <f>F7/G7</f>
        <v>1</v>
      </c>
    </row>
    <row r="8" spans="1:8" x14ac:dyDescent="0.25">
      <c r="A8" s="95"/>
      <c r="C8" s="9"/>
      <c r="D8" t="s">
        <v>113</v>
      </c>
      <c r="E8" s="4" t="str">
        <f>$E$2-2&amp;" "&amp;$E$2-3&amp;" "&amp;$E$2-4</f>
        <v>2020 2019 2018</v>
      </c>
      <c r="F8" s="22">
        <v>304</v>
      </c>
      <c r="H8" s="7"/>
    </row>
    <row r="9" spans="1:8" x14ac:dyDescent="0.25">
      <c r="A9" s="95"/>
      <c r="C9" s="9"/>
      <c r="D9" t="s">
        <v>114</v>
      </c>
      <c r="E9" s="4" t="str">
        <f>$E$2-2&amp;" "&amp;$E$2-3&amp;" "&amp;$E$2-4</f>
        <v>2020 2019 2018</v>
      </c>
      <c r="F9" s="22">
        <v>304</v>
      </c>
      <c r="H9" s="7"/>
    </row>
    <row r="10" spans="1:8" x14ac:dyDescent="0.25">
      <c r="A10" s="81" t="s">
        <v>156</v>
      </c>
      <c r="C10" s="11" t="s">
        <v>147</v>
      </c>
      <c r="D10" s="1" t="s">
        <v>146</v>
      </c>
      <c r="E10" s="5"/>
      <c r="F10" s="1">
        <f>IFERROR(IF(F11/F12&lt;0.6,G10/3,IF(F11/F12*100&gt;=80,1,IF(F11/F12*100&lt;=20,0,(F11/F12*100-20)/80))*G10),G10/3)</f>
        <v>8.3333333333333339</v>
      </c>
      <c r="G10" s="2">
        <v>25</v>
      </c>
      <c r="H10" s="7">
        <f t="shared" ref="H10:H47" si="0">F10/G10</f>
        <v>0.33333333333333337</v>
      </c>
    </row>
    <row r="11" spans="1:8" x14ac:dyDescent="0.25">
      <c r="A11" s="81"/>
      <c r="C11" s="9"/>
      <c r="D11" t="s">
        <v>149</v>
      </c>
      <c r="E11" s="4" t="str">
        <f>$E$2-3&amp;" "&amp;$E$2-4</f>
        <v>2019 2018</v>
      </c>
      <c r="F11" s="22">
        <v>47</v>
      </c>
      <c r="H11" s="7"/>
    </row>
    <row r="12" spans="1:8" x14ac:dyDescent="0.25">
      <c r="A12" s="81"/>
      <c r="C12" s="9"/>
      <c r="D12" t="s">
        <v>148</v>
      </c>
      <c r="E12" s="4" t="str">
        <f>$E$2-3&amp;" "&amp;$E$2-4</f>
        <v>2019 2018</v>
      </c>
      <c r="F12" s="22">
        <v>146</v>
      </c>
      <c r="H12" s="7"/>
    </row>
    <row r="13" spans="1:8" x14ac:dyDescent="0.25">
      <c r="A13" s="95" t="s">
        <v>157</v>
      </c>
      <c r="C13" s="11" t="s">
        <v>151</v>
      </c>
      <c r="D13" s="1" t="s">
        <v>150</v>
      </c>
      <c r="E13" s="5"/>
      <c r="F13" s="1">
        <f>IFERROR(IF(F11/F14&lt;0.6,G13/3,IF(F11/F14*100&gt;=50,1,IF(F11/F14*100&lt;=10,0,(F11/F14*100-10)/40))*G10),G13/3)</f>
        <v>8.3333333333333339</v>
      </c>
      <c r="G13" s="2">
        <v>25</v>
      </c>
      <c r="H13" s="7">
        <f t="shared" si="0"/>
        <v>0.33333333333333337</v>
      </c>
    </row>
    <row r="14" spans="1:8" x14ac:dyDescent="0.25">
      <c r="A14" s="95"/>
      <c r="C14" s="9"/>
      <c r="D14" t="s">
        <v>152</v>
      </c>
      <c r="E14" s="4" t="str">
        <f>$E$2-6&amp;" "&amp;$E$2-7</f>
        <v>2016 2015</v>
      </c>
      <c r="F14" s="22">
        <v>259</v>
      </c>
      <c r="H14" s="7"/>
    </row>
    <row r="15" spans="1:8" x14ac:dyDescent="0.25">
      <c r="A15" s="81" t="s">
        <v>155</v>
      </c>
      <c r="C15" s="11" t="s">
        <v>154</v>
      </c>
      <c r="D15" s="1" t="s">
        <v>153</v>
      </c>
      <c r="E15" s="5"/>
      <c r="F15" s="1">
        <f>IFERROR(IF(OR(F17=0,F16/F17&lt;0.6),G15/3,IF(F16/F17*100&gt;=90,1,IF(F16/F17*100&lt;=30,0,(F16/F17*100-30)/60))*G15),G15/3)</f>
        <v>0.33333333333333331</v>
      </c>
      <c r="G15" s="1">
        <v>1</v>
      </c>
      <c r="H15" s="7">
        <f t="shared" si="0"/>
        <v>0.33333333333333331</v>
      </c>
    </row>
    <row r="16" spans="1:8" x14ac:dyDescent="0.25">
      <c r="A16" s="81"/>
      <c r="C16" s="9"/>
      <c r="D16" t="s">
        <v>174</v>
      </c>
      <c r="E16" s="4">
        <f>$E$2-3</f>
        <v>2019</v>
      </c>
      <c r="F16" s="22"/>
      <c r="H16" s="7"/>
    </row>
    <row r="17" spans="1:8" x14ac:dyDescent="0.25">
      <c r="A17" s="81"/>
      <c r="C17" s="9"/>
      <c r="D17" s="41" t="s">
        <v>175</v>
      </c>
      <c r="E17" s="4">
        <f>$E$2-3</f>
        <v>2019</v>
      </c>
      <c r="F17" s="22"/>
      <c r="H17" s="7"/>
    </row>
    <row r="18" spans="1:8" ht="15" customHeight="1" x14ac:dyDescent="0.25">
      <c r="A18" s="95" t="s">
        <v>59</v>
      </c>
      <c r="B18" s="93" t="s">
        <v>140</v>
      </c>
      <c r="C18" s="11" t="s">
        <v>159</v>
      </c>
      <c r="D18" s="13" t="s">
        <v>53</v>
      </c>
      <c r="E18" s="5"/>
      <c r="F18" s="1">
        <f>IFERROR(IF((F25/(F19+F22)+F26/(F20+F23)+F27/(F21+F24))/3*100&lt;=5,0,IF((F25/(F19+F22)+F26/(F20+F23)+F27/(F21+F24))/3*100&gt;=100,1,((F25/(F19+F22)+F26/(F20+F23)+F27/(F21+F24))/3*100-5)/95))*G18,"")</f>
        <v>0</v>
      </c>
      <c r="G18" s="1">
        <f>IF(OR(Главная!AI13=E3,Главная!AI14=E3,Главная!AI19=E3),8,0)</f>
        <v>0</v>
      </c>
      <c r="H18" s="7" t="e">
        <f t="shared" si="0"/>
        <v>#DIV/0!</v>
      </c>
    </row>
    <row r="19" spans="1:8" x14ac:dyDescent="0.25">
      <c r="A19" s="95"/>
      <c r="B19" s="94"/>
      <c r="C19" s="9"/>
      <c r="D19" s="12" t="s">
        <v>54</v>
      </c>
      <c r="E19" s="8">
        <f>$E$2-5</f>
        <v>2017</v>
      </c>
      <c r="F19" s="38">
        <v>1051.2</v>
      </c>
      <c r="H19" s="7"/>
    </row>
    <row r="20" spans="1:8" x14ac:dyDescent="0.25">
      <c r="A20" s="95"/>
      <c r="B20" s="94"/>
      <c r="C20" s="9"/>
      <c r="D20" s="12" t="s">
        <v>54</v>
      </c>
      <c r="E20" s="8">
        <f>$E$2-4</f>
        <v>2018</v>
      </c>
      <c r="F20" s="38">
        <v>1047.5</v>
      </c>
      <c r="H20" s="7"/>
    </row>
    <row r="21" spans="1:8" x14ac:dyDescent="0.25">
      <c r="A21" s="95"/>
      <c r="B21" s="94"/>
      <c r="C21" s="9"/>
      <c r="D21" s="12" t="s">
        <v>54</v>
      </c>
      <c r="E21" s="8">
        <f>$E$2-3</f>
        <v>2019</v>
      </c>
      <c r="F21" s="38">
        <v>1059.5</v>
      </c>
      <c r="H21" s="7"/>
    </row>
    <row r="22" spans="1:8" x14ac:dyDescent="0.25">
      <c r="A22" s="95"/>
      <c r="B22" s="94"/>
      <c r="C22" s="9"/>
      <c r="D22" s="12" t="s">
        <v>55</v>
      </c>
      <c r="E22" s="8">
        <f>$E$2-5</f>
        <v>2017</v>
      </c>
      <c r="F22" s="38">
        <v>56.2</v>
      </c>
      <c r="H22" s="7"/>
    </row>
    <row r="23" spans="1:8" x14ac:dyDescent="0.25">
      <c r="A23" s="95"/>
      <c r="B23" s="94"/>
      <c r="C23" s="9"/>
      <c r="D23" s="12" t="s">
        <v>55</v>
      </c>
      <c r="E23" s="8">
        <f>$E$2-4</f>
        <v>2018</v>
      </c>
      <c r="F23" s="38">
        <v>54.6</v>
      </c>
      <c r="H23" s="7"/>
    </row>
    <row r="24" spans="1:8" x14ac:dyDescent="0.25">
      <c r="A24" s="95"/>
      <c r="B24" s="94"/>
      <c r="C24" s="9"/>
      <c r="D24" s="12" t="s">
        <v>55</v>
      </c>
      <c r="E24" s="8">
        <f>$E$2-3</f>
        <v>2019</v>
      </c>
      <c r="F24" s="38">
        <v>56.5</v>
      </c>
      <c r="H24" s="7"/>
    </row>
    <row r="25" spans="1:8" x14ac:dyDescent="0.25">
      <c r="A25" s="95"/>
      <c r="B25" s="94"/>
      <c r="C25" s="9"/>
      <c r="D25" s="12" t="s">
        <v>56</v>
      </c>
      <c r="E25" s="8">
        <f>$E$2-5</f>
        <v>2017</v>
      </c>
      <c r="F25" s="38">
        <v>380</v>
      </c>
      <c r="H25" s="7"/>
    </row>
    <row r="26" spans="1:8" x14ac:dyDescent="0.25">
      <c r="A26" s="95"/>
      <c r="B26" s="94"/>
      <c r="C26" s="9"/>
      <c r="D26" s="12" t="s">
        <v>56</v>
      </c>
      <c r="E26" s="8">
        <f>$E$2-4</f>
        <v>2018</v>
      </c>
      <c r="F26" s="38">
        <v>830</v>
      </c>
      <c r="H26" s="7"/>
    </row>
    <row r="27" spans="1:8" x14ac:dyDescent="0.25">
      <c r="A27" s="95"/>
      <c r="B27" s="94"/>
      <c r="C27" s="9"/>
      <c r="D27" s="12" t="s">
        <v>56</v>
      </c>
      <c r="E27" s="8">
        <f>$E$2-3</f>
        <v>2019</v>
      </c>
      <c r="F27" s="38">
        <v>1149</v>
      </c>
      <c r="H27" s="7"/>
    </row>
    <row r="28" spans="1:8" x14ac:dyDescent="0.25">
      <c r="A28" s="81" t="s">
        <v>165</v>
      </c>
      <c r="B28" s="94"/>
      <c r="C28" s="11" t="s">
        <v>158</v>
      </c>
      <c r="D28" s="35" t="s">
        <v>57</v>
      </c>
      <c r="E28" s="36"/>
      <c r="F28" s="1">
        <f>IFERROR(IF((F29/(F19+F22)+F30/(F20+F23)+F31/(F21+F24))/3&lt;=100,0,IF((F29/(F19+F22)+F30/(F20+F23)+F31/(F21+F24))/3&gt;=1000,1,((F29/(F19+F22)+F30/(F20+F23)+F31/(F21+F24))/3-100)/900))*G28," ")</f>
        <v>3.1206495340328533</v>
      </c>
      <c r="G28" s="1">
        <f>IF(OR(Главная!AI15=E3,Главная!AI16=E3,Главная!AI18=E3),10,IF(Главная!AI19=E3,12,IF(OR(Главная!AI13=E3,Главная!AI14=E3),8,0)))</f>
        <v>10</v>
      </c>
      <c r="H28" s="7">
        <f t="shared" si="0"/>
        <v>0.31206495340328533</v>
      </c>
    </row>
    <row r="29" spans="1:8" x14ac:dyDescent="0.25">
      <c r="A29" s="81"/>
      <c r="B29" s="94"/>
      <c r="C29" s="9"/>
      <c r="D29" s="37" t="s">
        <v>161</v>
      </c>
      <c r="E29" s="8">
        <v>2017</v>
      </c>
      <c r="F29" s="38">
        <v>265431.7</v>
      </c>
      <c r="H29" s="7"/>
    </row>
    <row r="30" spans="1:8" x14ac:dyDescent="0.25">
      <c r="A30" s="81"/>
      <c r="B30" s="94"/>
      <c r="C30" s="9"/>
      <c r="D30" s="37" t="s">
        <v>161</v>
      </c>
      <c r="E30" s="8">
        <v>2018</v>
      </c>
      <c r="F30" s="38">
        <v>382808.6</v>
      </c>
      <c r="H30" s="7"/>
    </row>
    <row r="31" spans="1:8" x14ac:dyDescent="0.25">
      <c r="A31" s="81"/>
      <c r="B31" s="94"/>
      <c r="C31" s="9"/>
      <c r="D31" s="37" t="s">
        <v>161</v>
      </c>
      <c r="E31" s="8">
        <v>2019</v>
      </c>
      <c r="F31" s="38">
        <v>619984.4</v>
      </c>
      <c r="H31" s="7"/>
    </row>
    <row r="32" spans="1:8" x14ac:dyDescent="0.25">
      <c r="A32" s="95" t="s">
        <v>166</v>
      </c>
      <c r="B32" s="94"/>
      <c r="C32" s="11" t="s">
        <v>163</v>
      </c>
      <c r="D32" s="35" t="s">
        <v>162</v>
      </c>
      <c r="E32" s="5"/>
      <c r="F32" s="1">
        <f>IFERROR(IF(((F29-F33)/(F19+F22)+(F30-F34)/(F20+F23)+(F31-F35)/(F21+F24))/3&lt;=50,0,IF(((F29-F33)/(F19+F22)+(F30-F34)/(F20+F23)+(F31-F35)/(F21+F24))/3&gt;=500,1,(((F29-F33)/(F19+F22)+(F30-F34)/(F20+F23)+(F31-F35)/(F21+F24))/3-50)/450))*G32," ")</f>
        <v>0.66302955128165852</v>
      </c>
      <c r="G32" s="1">
        <f>IF(OR(Главная!AI15=E3,Главная!AI16=E3,Главная!AI18=E3),10,IF(Главная!AI19=E3,4,IF(OR(Главная!AI13=E3,Главная!AI14=E3),8,0)))</f>
        <v>10</v>
      </c>
      <c r="H32" s="7">
        <f t="shared" si="0"/>
        <v>6.630295512816585E-2</v>
      </c>
    </row>
    <row r="33" spans="1:8" x14ac:dyDescent="0.25">
      <c r="A33" s="95"/>
      <c r="B33" s="94"/>
      <c r="C33" s="9"/>
      <c r="D33" s="37" t="s">
        <v>160</v>
      </c>
      <c r="E33" s="8">
        <v>2017</v>
      </c>
      <c r="F33" s="38">
        <v>183704.3</v>
      </c>
      <c r="H33" s="7"/>
    </row>
    <row r="34" spans="1:8" x14ac:dyDescent="0.25">
      <c r="A34" s="95"/>
      <c r="B34" s="94"/>
      <c r="C34" s="9"/>
      <c r="D34" s="37" t="s">
        <v>160</v>
      </c>
      <c r="E34" s="8">
        <v>2018</v>
      </c>
      <c r="F34" s="22">
        <f>287544.4+37690</f>
        <v>325234.40000000002</v>
      </c>
      <c r="H34" s="7"/>
    </row>
    <row r="35" spans="1:8" x14ac:dyDescent="0.25">
      <c r="A35" s="95"/>
      <c r="B35" s="94"/>
      <c r="C35" s="9"/>
      <c r="D35" s="37" t="s">
        <v>160</v>
      </c>
      <c r="E35" s="8">
        <v>2019</v>
      </c>
      <c r="F35" s="22">
        <v>493354.8</v>
      </c>
      <c r="H35" s="7"/>
    </row>
    <row r="36" spans="1:8" x14ac:dyDescent="0.25">
      <c r="A36" s="81" t="s">
        <v>170</v>
      </c>
      <c r="B36" s="94"/>
      <c r="C36" s="11" t="s">
        <v>167</v>
      </c>
      <c r="D36" s="35" t="s">
        <v>164</v>
      </c>
      <c r="E36" s="5"/>
      <c r="F36" s="1">
        <f>IF((IF(F37&gt;=10,F40/F37,0)+IF(F38&gt;=10,F41/F38,0)+IF(F39&gt;=10,F42/F39,0))/3*100&lt;=1,0,IF((IF(F37&gt;=10,F40/F37,0)+IF(F38&gt;=10,F41/F38,0)+IF(F39&gt;=10,F42/F39,0))/3*100&gt;=15,1,((IF(F37&gt;=10,F40/F37,0)+IF(F38&gt;=10,F41/F38,0)+IF(F39&gt;=10,F42/F39,0))/3*100-1)/14))*G36</f>
        <v>8.4616375908690351</v>
      </c>
      <c r="G36" s="1">
        <f>IF(OR(Главная!AI15=E3,Главная!AI16=E3,Главная!AI18=E3),10,IF(Главная!AI19=E3,8,IF(OR(Главная!AI13=E3,Главная!AI14=E3),8,20)))</f>
        <v>10</v>
      </c>
      <c r="H36" s="7">
        <f t="shared" si="0"/>
        <v>0.84616375908690356</v>
      </c>
    </row>
    <row r="37" spans="1:8" x14ac:dyDescent="0.25">
      <c r="A37" s="81"/>
      <c r="B37" s="94"/>
      <c r="C37" s="9"/>
      <c r="D37" s="37" t="s">
        <v>168</v>
      </c>
      <c r="E37" s="8" t="str">
        <f>"на 01.01."&amp;$E$2-4</f>
        <v>на 01.01.2018</v>
      </c>
      <c r="F37" s="22">
        <v>475</v>
      </c>
      <c r="H37" s="7"/>
    </row>
    <row r="38" spans="1:8" x14ac:dyDescent="0.25">
      <c r="A38" s="81"/>
      <c r="B38" s="94"/>
      <c r="D38" s="37" t="s">
        <v>168</v>
      </c>
      <c r="E38" s="8" t="str">
        <f>"на 01.01."&amp;$E$2-3</f>
        <v>на 01.01.2019</v>
      </c>
      <c r="F38" s="22">
        <v>473</v>
      </c>
      <c r="H38" s="7"/>
    </row>
    <row r="39" spans="1:8" x14ac:dyDescent="0.25">
      <c r="A39" s="81"/>
      <c r="B39" s="94"/>
      <c r="D39" s="37" t="s">
        <v>168</v>
      </c>
      <c r="E39" s="4" t="str">
        <f>"на 01.01."&amp;$E$2-2</f>
        <v>на 01.01.2020</v>
      </c>
      <c r="F39" s="22">
        <v>469</v>
      </c>
      <c r="H39" s="7"/>
    </row>
    <row r="40" spans="1:8" x14ac:dyDescent="0.25">
      <c r="A40" s="81"/>
      <c r="B40" s="94"/>
      <c r="D40" s="37" t="s">
        <v>169</v>
      </c>
      <c r="E40" s="8" t="str">
        <f>"на 01.01."&amp;$E$2-4</f>
        <v>на 01.01.2018</v>
      </c>
      <c r="F40" s="22">
        <v>59</v>
      </c>
      <c r="H40" s="7"/>
    </row>
    <row r="41" spans="1:8" x14ac:dyDescent="0.25">
      <c r="A41" s="81"/>
      <c r="B41" s="94"/>
      <c r="D41" s="37" t="s">
        <v>169</v>
      </c>
      <c r="E41" s="8" t="str">
        <f>"на 01.01."&amp;$E$2-3</f>
        <v>на 01.01.2019</v>
      </c>
      <c r="F41" s="22">
        <v>60</v>
      </c>
      <c r="H41" s="7"/>
    </row>
    <row r="42" spans="1:8" x14ac:dyDescent="0.25">
      <c r="A42" s="81"/>
      <c r="B42" s="94"/>
      <c r="D42" s="37" t="s">
        <v>169</v>
      </c>
      <c r="E42" s="4" t="str">
        <f>"на 01.01."&amp;$E$2-2</f>
        <v>на 01.01.2020</v>
      </c>
      <c r="F42" s="22">
        <v>63</v>
      </c>
      <c r="H42" s="7"/>
    </row>
    <row r="43" spans="1:8" x14ac:dyDescent="0.25">
      <c r="A43" s="95" t="s">
        <v>173</v>
      </c>
      <c r="B43" s="94"/>
      <c r="C43" s="1" t="s">
        <v>172</v>
      </c>
      <c r="D43" s="35" t="s">
        <v>171</v>
      </c>
      <c r="E43" s="5"/>
      <c r="F43" s="1">
        <f>IF((F44/(F19+F22)+F45/(F20+F23)+F46/(F21+F24))/3&gt;=5000,1,IF((F44/(F19+F22)+F45/(F20+F23)+F46/(F21+F24))/3&lt;=1000,0,((F44/(F19+F22)+F45/(F20+F23)+F46/(F21+F24))/3-1000)/4000))*G43</f>
        <v>10</v>
      </c>
      <c r="G43" s="1">
        <f>IF(OR(Главная!AI15=E3,Главная!AI16=E3,Главная!AI18=E3),10,IF(Главная!AI19=E3,8,IF(OR(Главная!AI13=E3,Главная!AI14=E3),8,20)))</f>
        <v>10</v>
      </c>
      <c r="H43" s="7">
        <f t="shared" si="0"/>
        <v>1</v>
      </c>
    </row>
    <row r="44" spans="1:8" x14ac:dyDescent="0.25">
      <c r="A44" s="95"/>
      <c r="B44" s="94"/>
      <c r="D44" s="12" t="s">
        <v>83</v>
      </c>
      <c r="E44" s="8">
        <f>$E$2-5</f>
        <v>2017</v>
      </c>
      <c r="F44" s="22">
        <v>5678492.5</v>
      </c>
      <c r="H44" s="7"/>
    </row>
    <row r="45" spans="1:8" x14ac:dyDescent="0.25">
      <c r="A45" s="95"/>
      <c r="B45" s="94"/>
      <c r="D45" s="12" t="s">
        <v>83</v>
      </c>
      <c r="E45" s="8">
        <f>$E$2-4</f>
        <v>2018</v>
      </c>
      <c r="F45" s="22">
        <v>6341442.5</v>
      </c>
      <c r="H45" s="7"/>
    </row>
    <row r="46" spans="1:8" x14ac:dyDescent="0.25">
      <c r="A46" s="95"/>
      <c r="B46" s="94"/>
      <c r="D46" s="12" t="s">
        <v>83</v>
      </c>
      <c r="E46" s="8">
        <f>$E$2-3</f>
        <v>2019</v>
      </c>
      <c r="F46" s="22">
        <v>7459397.7000000002</v>
      </c>
      <c r="H46" s="7"/>
    </row>
    <row r="47" spans="1:8" x14ac:dyDescent="0.25">
      <c r="B47" s="42"/>
      <c r="C47" s="1" t="s">
        <v>71</v>
      </c>
      <c r="D47" s="13" t="s">
        <v>70</v>
      </c>
      <c r="E47" s="5"/>
      <c r="F47" s="1">
        <f>SUM(F7,F10,F13,F15,F18,F28,F32,F36,F43,F50:F54)</f>
        <v>44.245316676183549</v>
      </c>
      <c r="G47" s="1">
        <v>100</v>
      </c>
      <c r="H47" s="7">
        <f t="shared" si="0"/>
        <v>0.44245316676183549</v>
      </c>
    </row>
    <row r="48" spans="1:8" x14ac:dyDescent="0.25">
      <c r="B48" s="42"/>
    </row>
    <row r="49" spans="2:8" x14ac:dyDescent="0.25">
      <c r="B49" s="42"/>
      <c r="C49" s="11" t="s">
        <v>96</v>
      </c>
      <c r="D49" s="86" t="s">
        <v>97</v>
      </c>
      <c r="E49" s="86"/>
      <c r="F49" s="86"/>
      <c r="G49" s="11"/>
      <c r="H49" s="7"/>
    </row>
    <row r="50" spans="2:8" x14ac:dyDescent="0.25">
      <c r="B50" s="42"/>
      <c r="C50" s="9"/>
      <c r="D50" s="26"/>
      <c r="E50" s="27"/>
      <c r="F50" s="24"/>
      <c r="G50" s="23"/>
      <c r="H50" s="7" t="e">
        <f t="shared" ref="H50:H54" si="1">F50/G50</f>
        <v>#DIV/0!</v>
      </c>
    </row>
    <row r="51" spans="2:8" x14ac:dyDescent="0.25">
      <c r="B51" s="42"/>
      <c r="C51" s="9"/>
      <c r="D51" s="28"/>
      <c r="E51" s="27"/>
      <c r="F51" s="25"/>
      <c r="G51" s="23"/>
      <c r="H51" s="7" t="e">
        <f t="shared" si="1"/>
        <v>#DIV/0!</v>
      </c>
    </row>
    <row r="52" spans="2:8" x14ac:dyDescent="0.25">
      <c r="C52" s="9"/>
      <c r="D52" s="28"/>
      <c r="E52" s="27"/>
      <c r="F52" s="25"/>
      <c r="G52" s="23"/>
      <c r="H52" s="7" t="e">
        <f t="shared" si="1"/>
        <v>#DIV/0!</v>
      </c>
    </row>
    <row r="53" spans="2:8" x14ac:dyDescent="0.25">
      <c r="C53" s="9"/>
      <c r="D53" s="28"/>
      <c r="E53" s="27"/>
      <c r="F53" s="25"/>
      <c r="G53" s="23"/>
      <c r="H53" s="7" t="e">
        <f t="shared" si="1"/>
        <v>#DIV/0!</v>
      </c>
    </row>
    <row r="54" spans="2:8" x14ac:dyDescent="0.25">
      <c r="C54" s="9"/>
      <c r="D54" s="28"/>
      <c r="E54" s="27"/>
      <c r="F54" s="25"/>
      <c r="G54" s="23"/>
      <c r="H54" s="7" t="e">
        <f t="shared" si="1"/>
        <v>#DIV/0!</v>
      </c>
    </row>
  </sheetData>
  <mergeCells count="11">
    <mergeCell ref="A43:A46"/>
    <mergeCell ref="B18:B46"/>
    <mergeCell ref="D49:F49"/>
    <mergeCell ref="A7:A9"/>
    <mergeCell ref="A10:A12"/>
    <mergeCell ref="A13:A14"/>
    <mergeCell ref="A15:A17"/>
    <mergeCell ref="A18:A27"/>
    <mergeCell ref="A28:A31"/>
    <mergeCell ref="A32:A35"/>
    <mergeCell ref="A36:A42"/>
  </mergeCells>
  <conditionalFormatting sqref="H1:H47">
    <cfRule type="iconSet" priority="2">
      <iconSet>
        <cfvo type="percent" val="0"/>
        <cfvo type="percent" val="33"/>
        <cfvo type="percent" val="67"/>
      </iconSet>
    </cfRule>
  </conditionalFormatting>
  <conditionalFormatting sqref="H49:H54">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Главная!$AI$13:$AI$19</xm:f>
          </x14:formula1>
          <xm:sqref>E3</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0">
    <tabColor rgb="FF7030A0"/>
  </sheetPr>
  <dimension ref="A1:H54"/>
  <sheetViews>
    <sheetView workbookViewId="0">
      <selection sqref="A1:A1048576"/>
    </sheetView>
  </sheetViews>
  <sheetFormatPr defaultRowHeight="15" x14ac:dyDescent="0.25"/>
  <cols>
    <col min="1" max="1" width="70.7109375" customWidth="1"/>
    <col min="4" max="4" width="57" customWidth="1"/>
    <col min="5" max="5" width="26.140625" style="4" customWidth="1"/>
    <col min="6" max="6" width="11.42578125" customWidth="1"/>
    <col min="7" max="7" width="20" customWidth="1"/>
    <col min="8" max="8" width="16" customWidth="1"/>
  </cols>
  <sheetData>
    <row r="1" spans="1:8" x14ac:dyDescent="0.25">
      <c r="D1" s="12"/>
    </row>
    <row r="2" spans="1:8" x14ac:dyDescent="0.25">
      <c r="A2" s="1" t="s">
        <v>80</v>
      </c>
      <c r="D2" s="12" t="s">
        <v>24</v>
      </c>
      <c r="E2" s="6">
        <v>2022</v>
      </c>
    </row>
    <row r="3" spans="1:8" x14ac:dyDescent="0.25">
      <c r="A3" t="s">
        <v>81</v>
      </c>
      <c r="D3" s="12"/>
      <c r="E3" s="6" t="s">
        <v>212</v>
      </c>
    </row>
    <row r="4" spans="1:8" x14ac:dyDescent="0.25">
      <c r="D4" s="12" t="s">
        <v>75</v>
      </c>
      <c r="E4" s="10">
        <f>F47</f>
        <v>44.245316676183549</v>
      </c>
      <c r="F4" t="s">
        <v>138</v>
      </c>
    </row>
    <row r="5" spans="1:8" x14ac:dyDescent="0.25">
      <c r="D5" s="12"/>
    </row>
    <row r="6" spans="1:8" x14ac:dyDescent="0.25">
      <c r="A6" t="s">
        <v>7</v>
      </c>
      <c r="C6" s="9"/>
      <c r="D6" s="12" t="s">
        <v>25</v>
      </c>
      <c r="E6" s="4" t="s">
        <v>21</v>
      </c>
      <c r="G6" t="s">
        <v>20</v>
      </c>
      <c r="H6" t="s">
        <v>42</v>
      </c>
    </row>
    <row r="7" spans="1:8" x14ac:dyDescent="0.25">
      <c r="A7" s="95" t="s">
        <v>10</v>
      </c>
      <c r="C7" s="11" t="s">
        <v>144</v>
      </c>
      <c r="D7" s="1" t="s">
        <v>2</v>
      </c>
      <c r="E7" s="60"/>
      <c r="F7" s="11">
        <f>IF(F8/F9*100&lt;=80,0,IF(F8/F9*100&gt;=100,1,(F8/F9*100-80)/20))*G7</f>
        <v>5</v>
      </c>
      <c r="G7" s="1">
        <v>5</v>
      </c>
      <c r="H7" s="7">
        <f>F7/G7</f>
        <v>1</v>
      </c>
    </row>
    <row r="8" spans="1:8" x14ac:dyDescent="0.25">
      <c r="A8" s="95"/>
      <c r="C8" s="9"/>
      <c r="D8" t="s">
        <v>113</v>
      </c>
      <c r="E8" s="4" t="str">
        <f>$E$2-2&amp;" "&amp;$E$2-3&amp;" "&amp;$E$2-4</f>
        <v>2020 2019 2018</v>
      </c>
      <c r="F8" s="22">
        <v>9</v>
      </c>
      <c r="H8" s="7"/>
    </row>
    <row r="9" spans="1:8" x14ac:dyDescent="0.25">
      <c r="A9" s="95"/>
      <c r="C9" s="9"/>
      <c r="D9" t="s">
        <v>114</v>
      </c>
      <c r="E9" s="4" t="str">
        <f>$E$2-2&amp;" "&amp;$E$2-3&amp;" "&amp;$E$2-4</f>
        <v>2020 2019 2018</v>
      </c>
      <c r="F9" s="22">
        <v>9</v>
      </c>
      <c r="H9" s="7"/>
    </row>
    <row r="10" spans="1:8" x14ac:dyDescent="0.25">
      <c r="A10" s="81" t="s">
        <v>156</v>
      </c>
      <c r="C10" s="11" t="s">
        <v>147</v>
      </c>
      <c r="D10" s="1" t="s">
        <v>146</v>
      </c>
      <c r="E10" s="5"/>
      <c r="F10" s="1">
        <f>IFERROR(IF(F11/F12&lt;0.6,G10/3,IF(F11/F12*100&gt;=80,1,IF(F11/F12*100&lt;=20,0,(F11/F12*100-20)/80))*G10),G10/3)</f>
        <v>8.3333333333333339</v>
      </c>
      <c r="G10" s="2">
        <v>25</v>
      </c>
      <c r="H10" s="7">
        <f t="shared" ref="H10:H47" si="0">F10/G10</f>
        <v>0.33333333333333337</v>
      </c>
    </row>
    <row r="11" spans="1:8" x14ac:dyDescent="0.25">
      <c r="A11" s="81"/>
      <c r="C11" s="9"/>
      <c r="D11" t="s">
        <v>149</v>
      </c>
      <c r="E11" s="4" t="str">
        <f>$E$2-3&amp;" "&amp;$E$2-4</f>
        <v>2019 2018</v>
      </c>
      <c r="F11" s="22"/>
      <c r="H11" s="7"/>
    </row>
    <row r="12" spans="1:8" x14ac:dyDescent="0.25">
      <c r="A12" s="81"/>
      <c r="C12" s="9"/>
      <c r="D12" t="s">
        <v>148</v>
      </c>
      <c r="E12" s="4" t="str">
        <f>$E$2-3&amp;" "&amp;$E$2-4</f>
        <v>2019 2018</v>
      </c>
      <c r="F12" s="22">
        <v>4</v>
      </c>
      <c r="H12" s="7"/>
    </row>
    <row r="13" spans="1:8" x14ac:dyDescent="0.25">
      <c r="A13" s="95" t="s">
        <v>157</v>
      </c>
      <c r="C13" s="11" t="s">
        <v>151</v>
      </c>
      <c r="D13" s="1" t="s">
        <v>150</v>
      </c>
      <c r="E13" s="5"/>
      <c r="F13" s="1">
        <f>IFERROR(IF(F11/F14&lt;0.6,G13/3,IF(F11/F14*100&gt;=50,1,IF(F11/F14*100&lt;=10,0,(F11/F14*100-10)/40))*G10),G13/3)</f>
        <v>8.3333333333333339</v>
      </c>
      <c r="G13" s="2">
        <v>25</v>
      </c>
      <c r="H13" s="7">
        <f t="shared" si="0"/>
        <v>0.33333333333333337</v>
      </c>
    </row>
    <row r="14" spans="1:8" x14ac:dyDescent="0.25">
      <c r="A14" s="95"/>
      <c r="C14" s="9"/>
      <c r="D14" t="s">
        <v>152</v>
      </c>
      <c r="E14" s="4" t="str">
        <f>$E$2-6&amp;" "&amp;$E$2-7</f>
        <v>2016 2015</v>
      </c>
      <c r="F14" s="22">
        <v>6</v>
      </c>
      <c r="H14" s="7"/>
    </row>
    <row r="15" spans="1:8" x14ac:dyDescent="0.25">
      <c r="A15" s="81" t="s">
        <v>155</v>
      </c>
      <c r="C15" s="11" t="s">
        <v>154</v>
      </c>
      <c r="D15" s="1" t="s">
        <v>153</v>
      </c>
      <c r="E15" s="5"/>
      <c r="F15" s="1">
        <f>IFERROR(IF(OR(F17=0,F16/F17&lt;0.6),G15/3,IF(F16/F17*100&gt;=90,1,IF(F16/F17*100&lt;=30,0,(F16/F17*100-30)/60))*G15),G15/3)</f>
        <v>0.33333333333333331</v>
      </c>
      <c r="G15" s="1">
        <v>1</v>
      </c>
      <c r="H15" s="7">
        <f t="shared" si="0"/>
        <v>0.33333333333333331</v>
      </c>
    </row>
    <row r="16" spans="1:8" x14ac:dyDescent="0.25">
      <c r="A16" s="81"/>
      <c r="C16" s="9"/>
      <c r="D16" t="s">
        <v>174</v>
      </c>
      <c r="E16" s="4">
        <f>$E$2-3</f>
        <v>2019</v>
      </c>
      <c r="F16" s="22"/>
      <c r="H16" s="7"/>
    </row>
    <row r="17" spans="1:8" x14ac:dyDescent="0.25">
      <c r="A17" s="81"/>
      <c r="C17" s="9"/>
      <c r="D17" s="41" t="s">
        <v>175</v>
      </c>
      <c r="E17" s="4">
        <f>$E$2-3</f>
        <v>2019</v>
      </c>
      <c r="F17" s="22"/>
      <c r="H17" s="7"/>
    </row>
    <row r="18" spans="1:8" ht="15" customHeight="1" x14ac:dyDescent="0.25">
      <c r="A18" s="95" t="s">
        <v>59</v>
      </c>
      <c r="B18" s="93" t="s">
        <v>140</v>
      </c>
      <c r="C18" s="11" t="s">
        <v>159</v>
      </c>
      <c r="D18" s="13" t="s">
        <v>53</v>
      </c>
      <c r="E18" s="5"/>
      <c r="F18" s="1">
        <f>IFERROR(IF((F25/(F19+F22)+F26/(F20+F23)+F27/(F21+F24))/3*100&lt;=5,0,IF((F25/(F19+F22)+F26/(F20+F23)+F27/(F21+F24))/3*100&gt;=100,1,((F25/(F19+F22)+F26/(F20+F23)+F27/(F21+F24))/3*100-5)/95))*G18,"")</f>
        <v>0</v>
      </c>
      <c r="G18" s="1">
        <f>IF(OR(Главная!AI13=E3,Главная!AI14=E3,Главная!AI19=E3),8,0)</f>
        <v>0</v>
      </c>
      <c r="H18" s="7" t="e">
        <f t="shared" si="0"/>
        <v>#DIV/0!</v>
      </c>
    </row>
    <row r="19" spans="1:8" x14ac:dyDescent="0.25">
      <c r="A19" s="95"/>
      <c r="B19" s="94"/>
      <c r="C19" s="9"/>
      <c r="D19" s="12" t="s">
        <v>54</v>
      </c>
      <c r="E19" s="8">
        <f>$E$2-5</f>
        <v>2017</v>
      </c>
      <c r="F19" s="38">
        <v>1051.2</v>
      </c>
      <c r="H19" s="7"/>
    </row>
    <row r="20" spans="1:8" x14ac:dyDescent="0.25">
      <c r="A20" s="95"/>
      <c r="B20" s="94"/>
      <c r="C20" s="9"/>
      <c r="D20" s="12" t="s">
        <v>54</v>
      </c>
      <c r="E20" s="8">
        <f>$E$2-4</f>
        <v>2018</v>
      </c>
      <c r="F20" s="38">
        <v>1047.5</v>
      </c>
      <c r="H20" s="7"/>
    </row>
    <row r="21" spans="1:8" x14ac:dyDescent="0.25">
      <c r="A21" s="95"/>
      <c r="B21" s="94"/>
      <c r="C21" s="9"/>
      <c r="D21" s="12" t="s">
        <v>54</v>
      </c>
      <c r="E21" s="8">
        <f>$E$2-3</f>
        <v>2019</v>
      </c>
      <c r="F21" s="38">
        <v>1059.5</v>
      </c>
      <c r="H21" s="7"/>
    </row>
    <row r="22" spans="1:8" x14ac:dyDescent="0.25">
      <c r="A22" s="95"/>
      <c r="B22" s="94"/>
      <c r="C22" s="9"/>
      <c r="D22" s="12" t="s">
        <v>55</v>
      </c>
      <c r="E22" s="8">
        <f>$E$2-5</f>
        <v>2017</v>
      </c>
      <c r="F22" s="38">
        <v>56.2</v>
      </c>
      <c r="H22" s="7"/>
    </row>
    <row r="23" spans="1:8" x14ac:dyDescent="0.25">
      <c r="A23" s="95"/>
      <c r="B23" s="94"/>
      <c r="C23" s="9"/>
      <c r="D23" s="12" t="s">
        <v>55</v>
      </c>
      <c r="E23" s="8">
        <f>$E$2-4</f>
        <v>2018</v>
      </c>
      <c r="F23" s="38">
        <v>54.6</v>
      </c>
      <c r="H23" s="7"/>
    </row>
    <row r="24" spans="1:8" x14ac:dyDescent="0.25">
      <c r="A24" s="95"/>
      <c r="B24" s="94"/>
      <c r="C24" s="9"/>
      <c r="D24" s="12" t="s">
        <v>55</v>
      </c>
      <c r="E24" s="8">
        <f>$E$2-3</f>
        <v>2019</v>
      </c>
      <c r="F24" s="38">
        <v>56.5</v>
      </c>
      <c r="H24" s="7"/>
    </row>
    <row r="25" spans="1:8" x14ac:dyDescent="0.25">
      <c r="A25" s="95"/>
      <c r="B25" s="94"/>
      <c r="C25" s="9"/>
      <c r="D25" s="12" t="s">
        <v>56</v>
      </c>
      <c r="E25" s="8">
        <f>$E$2-5</f>
        <v>2017</v>
      </c>
      <c r="F25" s="38">
        <v>380</v>
      </c>
      <c r="H25" s="7"/>
    </row>
    <row r="26" spans="1:8" x14ac:dyDescent="0.25">
      <c r="A26" s="95"/>
      <c r="B26" s="94"/>
      <c r="C26" s="9"/>
      <c r="D26" s="12" t="s">
        <v>56</v>
      </c>
      <c r="E26" s="8">
        <f>$E$2-4</f>
        <v>2018</v>
      </c>
      <c r="F26" s="38">
        <v>830</v>
      </c>
      <c r="H26" s="7"/>
    </row>
    <row r="27" spans="1:8" x14ac:dyDescent="0.25">
      <c r="A27" s="95"/>
      <c r="B27" s="94"/>
      <c r="C27" s="9"/>
      <c r="D27" s="12" t="s">
        <v>56</v>
      </c>
      <c r="E27" s="8">
        <f>$E$2-3</f>
        <v>2019</v>
      </c>
      <c r="F27" s="38">
        <v>1149</v>
      </c>
      <c r="H27" s="7"/>
    </row>
    <row r="28" spans="1:8" x14ac:dyDescent="0.25">
      <c r="A28" s="81" t="s">
        <v>165</v>
      </c>
      <c r="B28" s="94"/>
      <c r="C28" s="11" t="s">
        <v>158</v>
      </c>
      <c r="D28" s="35" t="s">
        <v>57</v>
      </c>
      <c r="E28" s="36"/>
      <c r="F28" s="1">
        <f>IFERROR(IF((F29/(F19+F22)+F30/(F20+F23)+F31/(F21+F24))/3&lt;=100,0,IF((F29/(F19+F22)+F30/(F20+F23)+F31/(F21+F24))/3&gt;=1000,1,((F29/(F19+F22)+F30/(F20+F23)+F31/(F21+F24))/3-100)/900))*G28," ")</f>
        <v>3.1206495340328533</v>
      </c>
      <c r="G28" s="1">
        <f>IF(OR(Главная!AI15=E3,Главная!AI16=E3,Главная!AI18=E3),10,IF(Главная!AI19=E3,12,IF(OR(Главная!AI13=E3,Главная!AI14=E3),8,0)))</f>
        <v>10</v>
      </c>
      <c r="H28" s="7">
        <f t="shared" si="0"/>
        <v>0.31206495340328533</v>
      </c>
    </row>
    <row r="29" spans="1:8" x14ac:dyDescent="0.25">
      <c r="A29" s="81"/>
      <c r="B29" s="94"/>
      <c r="C29" s="9"/>
      <c r="D29" s="37" t="s">
        <v>161</v>
      </c>
      <c r="E29" s="8">
        <v>2017</v>
      </c>
      <c r="F29" s="38">
        <v>265431.7</v>
      </c>
      <c r="H29" s="7"/>
    </row>
    <row r="30" spans="1:8" x14ac:dyDescent="0.25">
      <c r="A30" s="81"/>
      <c r="B30" s="94"/>
      <c r="C30" s="9"/>
      <c r="D30" s="37" t="s">
        <v>161</v>
      </c>
      <c r="E30" s="8">
        <v>2018</v>
      </c>
      <c r="F30" s="38">
        <v>382808.6</v>
      </c>
      <c r="H30" s="7"/>
    </row>
    <row r="31" spans="1:8" x14ac:dyDescent="0.25">
      <c r="A31" s="81"/>
      <c r="B31" s="94"/>
      <c r="C31" s="9"/>
      <c r="D31" s="37" t="s">
        <v>161</v>
      </c>
      <c r="E31" s="8">
        <v>2019</v>
      </c>
      <c r="F31" s="38">
        <v>619984.4</v>
      </c>
      <c r="H31" s="7"/>
    </row>
    <row r="32" spans="1:8" x14ac:dyDescent="0.25">
      <c r="A32" s="95" t="s">
        <v>166</v>
      </c>
      <c r="B32" s="94"/>
      <c r="C32" s="11" t="s">
        <v>163</v>
      </c>
      <c r="D32" s="35" t="s">
        <v>162</v>
      </c>
      <c r="E32" s="5"/>
      <c r="F32" s="1">
        <f>IFERROR(IF(((F29-F33)/(F19+F22)+(F30-F34)/(F20+F23)+(F31-F35)/(F21+F24))/3&lt;=50,0,IF(((F29-F33)/(F19+F22)+(F30-F34)/(F20+F23)+(F31-F35)/(F21+F24))/3&gt;=500,1,(((F29-F33)/(F19+F22)+(F30-F34)/(F20+F23)+(F31-F35)/(F21+F24))/3-50)/450))*G32," ")</f>
        <v>0.66302955128165852</v>
      </c>
      <c r="G32" s="1">
        <f>IF(OR(Главная!AI15=E3,Главная!AI16=E3,Главная!AI18=E3),10,IF(Главная!AI19=E3,4,IF(OR(Главная!AI13=E3,Главная!AI14=E3),8,0)))</f>
        <v>10</v>
      </c>
      <c r="H32" s="7">
        <f t="shared" si="0"/>
        <v>6.630295512816585E-2</v>
      </c>
    </row>
    <row r="33" spans="1:8" x14ac:dyDescent="0.25">
      <c r="A33" s="95"/>
      <c r="B33" s="94"/>
      <c r="C33" s="9"/>
      <c r="D33" s="37" t="s">
        <v>160</v>
      </c>
      <c r="E33" s="8">
        <v>2017</v>
      </c>
      <c r="F33" s="38">
        <v>183704.3</v>
      </c>
      <c r="H33" s="7"/>
    </row>
    <row r="34" spans="1:8" x14ac:dyDescent="0.25">
      <c r="A34" s="95"/>
      <c r="B34" s="94"/>
      <c r="C34" s="9"/>
      <c r="D34" s="37" t="s">
        <v>160</v>
      </c>
      <c r="E34" s="8">
        <v>2018</v>
      </c>
      <c r="F34" s="22">
        <f>287544.4+37690</f>
        <v>325234.40000000002</v>
      </c>
      <c r="H34" s="7"/>
    </row>
    <row r="35" spans="1:8" x14ac:dyDescent="0.25">
      <c r="A35" s="95"/>
      <c r="B35" s="94"/>
      <c r="C35" s="9"/>
      <c r="D35" s="37" t="s">
        <v>160</v>
      </c>
      <c r="E35" s="8">
        <v>2019</v>
      </c>
      <c r="F35" s="22">
        <v>493354.8</v>
      </c>
      <c r="H35" s="7"/>
    </row>
    <row r="36" spans="1:8" x14ac:dyDescent="0.25">
      <c r="A36" s="81" t="s">
        <v>170</v>
      </c>
      <c r="B36" s="94"/>
      <c r="C36" s="11" t="s">
        <v>167</v>
      </c>
      <c r="D36" s="35" t="s">
        <v>164</v>
      </c>
      <c r="E36" s="5"/>
      <c r="F36" s="1">
        <f>IF((IF(F37&gt;=10,F40/F37,0)+IF(F38&gt;=10,F41/F38,0)+IF(F39&gt;=10,F42/F39,0))/3*100&lt;=1,0,IF((IF(F37&gt;=10,F40/F37,0)+IF(F38&gt;=10,F41/F38,0)+IF(F39&gt;=10,F42/F39,0))/3*100&gt;=15,1,((IF(F37&gt;=10,F40/F37,0)+IF(F38&gt;=10,F41/F38,0)+IF(F39&gt;=10,F42/F39,0))/3*100-1)/14))*G36</f>
        <v>8.4616375908690351</v>
      </c>
      <c r="G36" s="1">
        <f>IF(OR(Главная!AI15=E3,Главная!AI16=E3,Главная!AI18=E3),10,IF(Главная!AI19=E3,8,IF(OR(Главная!AI13=E3,Главная!AI14=E3),8,20)))</f>
        <v>10</v>
      </c>
      <c r="H36" s="7">
        <f t="shared" si="0"/>
        <v>0.84616375908690356</v>
      </c>
    </row>
    <row r="37" spans="1:8" x14ac:dyDescent="0.25">
      <c r="A37" s="81"/>
      <c r="B37" s="94"/>
      <c r="C37" s="9"/>
      <c r="D37" s="37" t="s">
        <v>168</v>
      </c>
      <c r="E37" s="8" t="str">
        <f>"на 01.01."&amp;$E$2-4</f>
        <v>на 01.01.2018</v>
      </c>
      <c r="F37" s="22">
        <v>475</v>
      </c>
      <c r="H37" s="7"/>
    </row>
    <row r="38" spans="1:8" x14ac:dyDescent="0.25">
      <c r="A38" s="81"/>
      <c r="B38" s="94"/>
      <c r="D38" s="37" t="s">
        <v>168</v>
      </c>
      <c r="E38" s="8" t="str">
        <f>"на 01.01."&amp;$E$2-3</f>
        <v>на 01.01.2019</v>
      </c>
      <c r="F38" s="22">
        <v>473</v>
      </c>
      <c r="H38" s="7"/>
    </row>
    <row r="39" spans="1:8" x14ac:dyDescent="0.25">
      <c r="A39" s="81"/>
      <c r="B39" s="94"/>
      <c r="D39" s="37" t="s">
        <v>168</v>
      </c>
      <c r="E39" s="4" t="str">
        <f>"на 01.01."&amp;$E$2-2</f>
        <v>на 01.01.2020</v>
      </c>
      <c r="F39" s="22">
        <v>469</v>
      </c>
      <c r="H39" s="7"/>
    </row>
    <row r="40" spans="1:8" x14ac:dyDescent="0.25">
      <c r="A40" s="81"/>
      <c r="B40" s="94"/>
      <c r="D40" s="37" t="s">
        <v>169</v>
      </c>
      <c r="E40" s="8" t="str">
        <f>"на 01.01."&amp;$E$2-4</f>
        <v>на 01.01.2018</v>
      </c>
      <c r="F40" s="22">
        <v>59</v>
      </c>
      <c r="H40" s="7"/>
    </row>
    <row r="41" spans="1:8" x14ac:dyDescent="0.25">
      <c r="A41" s="81"/>
      <c r="B41" s="94"/>
      <c r="D41" s="37" t="s">
        <v>169</v>
      </c>
      <c r="E41" s="8" t="str">
        <f>"на 01.01."&amp;$E$2-3</f>
        <v>на 01.01.2019</v>
      </c>
      <c r="F41" s="22">
        <v>60</v>
      </c>
      <c r="H41" s="7"/>
    </row>
    <row r="42" spans="1:8" x14ac:dyDescent="0.25">
      <c r="A42" s="81"/>
      <c r="B42" s="94"/>
      <c r="D42" s="37" t="s">
        <v>169</v>
      </c>
      <c r="E42" s="4" t="str">
        <f>"на 01.01."&amp;$E$2-2</f>
        <v>на 01.01.2020</v>
      </c>
      <c r="F42" s="22">
        <v>63</v>
      </c>
      <c r="H42" s="7"/>
    </row>
    <row r="43" spans="1:8" x14ac:dyDescent="0.25">
      <c r="A43" s="95" t="s">
        <v>173</v>
      </c>
      <c r="B43" s="94"/>
      <c r="C43" s="1" t="s">
        <v>172</v>
      </c>
      <c r="D43" s="35" t="s">
        <v>171</v>
      </c>
      <c r="E43" s="5"/>
      <c r="F43" s="1">
        <f>IF((F44/(F19+F22)+F45/(F20+F23)+F46/(F21+F24))/3&gt;=5000,1,IF((F44/(F19+F22)+F45/(F20+F23)+F46/(F21+F24))/3&lt;=1000,0,((F44/(F19+F22)+F45/(F20+F23)+F46/(F21+F24))/3-1000)/4000))*G43</f>
        <v>10</v>
      </c>
      <c r="G43" s="1">
        <f>IF(OR(Главная!AI15=E3,Главная!AI16=E3,Главная!AI18=E3),10,IF(Главная!AI19=E3,8,IF(OR(Главная!AI13=E3,Главная!AI14=E3),8,20)))</f>
        <v>10</v>
      </c>
      <c r="H43" s="7">
        <f t="shared" si="0"/>
        <v>1</v>
      </c>
    </row>
    <row r="44" spans="1:8" x14ac:dyDescent="0.25">
      <c r="A44" s="95"/>
      <c r="B44" s="94"/>
      <c r="D44" s="12" t="s">
        <v>83</v>
      </c>
      <c r="E44" s="8">
        <f>$E$2-5</f>
        <v>2017</v>
      </c>
      <c r="F44" s="22">
        <v>5678492.5</v>
      </c>
      <c r="H44" s="7"/>
    </row>
    <row r="45" spans="1:8" x14ac:dyDescent="0.25">
      <c r="A45" s="95"/>
      <c r="B45" s="94"/>
      <c r="D45" s="12" t="s">
        <v>83</v>
      </c>
      <c r="E45" s="8">
        <f>$E$2-4</f>
        <v>2018</v>
      </c>
      <c r="F45" s="22">
        <v>6341442.5</v>
      </c>
      <c r="H45" s="7"/>
    </row>
    <row r="46" spans="1:8" x14ac:dyDescent="0.25">
      <c r="A46" s="95"/>
      <c r="B46" s="94"/>
      <c r="D46" s="12" t="s">
        <v>83</v>
      </c>
      <c r="E46" s="8">
        <f>$E$2-3</f>
        <v>2019</v>
      </c>
      <c r="F46" s="22">
        <v>7459397.7000000002</v>
      </c>
      <c r="H46" s="7"/>
    </row>
    <row r="47" spans="1:8" x14ac:dyDescent="0.25">
      <c r="B47" s="42"/>
      <c r="C47" s="1" t="s">
        <v>71</v>
      </c>
      <c r="D47" s="13" t="s">
        <v>70</v>
      </c>
      <c r="E47" s="5"/>
      <c r="F47" s="1">
        <f>SUM(F7,F10,F13,F15,F18,F28,F32,F36,F43,F50:F54)</f>
        <v>44.245316676183549</v>
      </c>
      <c r="G47" s="1">
        <v>100</v>
      </c>
      <c r="H47" s="7">
        <f t="shared" si="0"/>
        <v>0.44245316676183549</v>
      </c>
    </row>
    <row r="48" spans="1:8" x14ac:dyDescent="0.25">
      <c r="B48" s="42"/>
    </row>
    <row r="49" spans="2:8" x14ac:dyDescent="0.25">
      <c r="B49" s="42"/>
      <c r="C49" s="11" t="s">
        <v>96</v>
      </c>
      <c r="D49" s="86" t="s">
        <v>97</v>
      </c>
      <c r="E49" s="86"/>
      <c r="F49" s="86"/>
      <c r="G49" s="11"/>
      <c r="H49" s="7"/>
    </row>
    <row r="50" spans="2:8" x14ac:dyDescent="0.25">
      <c r="B50" s="42"/>
      <c r="C50" s="9"/>
      <c r="D50" s="26"/>
      <c r="E50" s="27"/>
      <c r="F50" s="24"/>
      <c r="G50" s="23"/>
      <c r="H50" s="7" t="e">
        <f t="shared" ref="H50:H54" si="1">F50/G50</f>
        <v>#DIV/0!</v>
      </c>
    </row>
    <row r="51" spans="2:8" x14ac:dyDescent="0.25">
      <c r="B51" s="42"/>
      <c r="C51" s="9"/>
      <c r="D51" s="28"/>
      <c r="E51" s="27"/>
      <c r="F51" s="25"/>
      <c r="G51" s="23"/>
      <c r="H51" s="7" t="e">
        <f t="shared" si="1"/>
        <v>#DIV/0!</v>
      </c>
    </row>
    <row r="52" spans="2:8" x14ac:dyDescent="0.25">
      <c r="C52" s="9"/>
      <c r="D52" s="28"/>
      <c r="E52" s="27"/>
      <c r="F52" s="25"/>
      <c r="G52" s="23"/>
      <c r="H52" s="7" t="e">
        <f t="shared" si="1"/>
        <v>#DIV/0!</v>
      </c>
    </row>
    <row r="53" spans="2:8" x14ac:dyDescent="0.25">
      <c r="C53" s="9"/>
      <c r="D53" s="28"/>
      <c r="E53" s="27"/>
      <c r="F53" s="25"/>
      <c r="G53" s="23"/>
      <c r="H53" s="7" t="e">
        <f t="shared" si="1"/>
        <v>#DIV/0!</v>
      </c>
    </row>
    <row r="54" spans="2:8" x14ac:dyDescent="0.25">
      <c r="C54" s="9"/>
      <c r="D54" s="28"/>
      <c r="E54" s="27"/>
      <c r="F54" s="25"/>
      <c r="G54" s="23"/>
      <c r="H54" s="7" t="e">
        <f t="shared" si="1"/>
        <v>#DIV/0!</v>
      </c>
    </row>
  </sheetData>
  <mergeCells count="11">
    <mergeCell ref="A43:A46"/>
    <mergeCell ref="B18:B46"/>
    <mergeCell ref="D49:F49"/>
    <mergeCell ref="A7:A9"/>
    <mergeCell ref="A10:A12"/>
    <mergeCell ref="A13:A14"/>
    <mergeCell ref="A15:A17"/>
    <mergeCell ref="A18:A27"/>
    <mergeCell ref="A28:A31"/>
    <mergeCell ref="A32:A35"/>
    <mergeCell ref="A36:A42"/>
  </mergeCells>
  <conditionalFormatting sqref="H1:H47">
    <cfRule type="iconSet" priority="2">
      <iconSet>
        <cfvo type="percent" val="0"/>
        <cfvo type="percent" val="33"/>
        <cfvo type="percent" val="67"/>
      </iconSet>
    </cfRule>
  </conditionalFormatting>
  <conditionalFormatting sqref="H49:H54">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Главная!$AI$13:$AI$19</xm:f>
          </x14:formula1>
          <xm:sqref>E3</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1">
    <tabColor rgb="FF7030A0"/>
  </sheetPr>
  <dimension ref="A1:H54"/>
  <sheetViews>
    <sheetView workbookViewId="0">
      <selection activeCell="C18" sqref="C18"/>
    </sheetView>
  </sheetViews>
  <sheetFormatPr defaultRowHeight="15" x14ac:dyDescent="0.25"/>
  <cols>
    <col min="1" max="1" width="70.7109375" customWidth="1"/>
    <col min="4" max="4" width="57" customWidth="1"/>
    <col min="5" max="5" width="26.140625" style="4" customWidth="1"/>
    <col min="6" max="6" width="11.42578125" customWidth="1"/>
    <col min="7" max="7" width="20" customWidth="1"/>
    <col min="8" max="8" width="16" customWidth="1"/>
  </cols>
  <sheetData>
    <row r="1" spans="1:8" x14ac:dyDescent="0.25">
      <c r="D1" s="12"/>
    </row>
    <row r="2" spans="1:8" x14ac:dyDescent="0.25">
      <c r="A2" s="1" t="s">
        <v>80</v>
      </c>
      <c r="D2" s="12" t="s">
        <v>24</v>
      </c>
      <c r="E2" s="6">
        <v>2022</v>
      </c>
    </row>
    <row r="3" spans="1:8" x14ac:dyDescent="0.25">
      <c r="A3" t="s">
        <v>81</v>
      </c>
      <c r="D3" s="12"/>
      <c r="E3" s="6" t="s">
        <v>213</v>
      </c>
    </row>
    <row r="4" spans="1:8" x14ac:dyDescent="0.25">
      <c r="D4" s="12" t="s">
        <v>75</v>
      </c>
      <c r="E4" s="10">
        <f>F47</f>
        <v>58.92327518173807</v>
      </c>
      <c r="F4" t="s">
        <v>138</v>
      </c>
    </row>
    <row r="5" spans="1:8" x14ac:dyDescent="0.25">
      <c r="D5" s="12"/>
    </row>
    <row r="6" spans="1:8" x14ac:dyDescent="0.25">
      <c r="A6" t="s">
        <v>7</v>
      </c>
      <c r="C6" s="9"/>
      <c r="D6" s="12" t="s">
        <v>25</v>
      </c>
      <c r="E6" s="4" t="s">
        <v>21</v>
      </c>
      <c r="G6" t="s">
        <v>20</v>
      </c>
      <c r="H6" t="s">
        <v>42</v>
      </c>
    </row>
    <row r="7" spans="1:8" x14ac:dyDescent="0.25">
      <c r="A7" s="95" t="s">
        <v>10</v>
      </c>
      <c r="C7" s="11" t="s">
        <v>144</v>
      </c>
      <c r="D7" s="1" t="s">
        <v>2</v>
      </c>
      <c r="E7" s="60"/>
      <c r="F7" s="11">
        <f>IF(F8/F9*100&lt;=80,0,IF(F8/F9*100&gt;=100,1,(F8/F9*100-80)/20))*G7</f>
        <v>5</v>
      </c>
      <c r="G7" s="1">
        <v>5</v>
      </c>
      <c r="H7" s="7">
        <f>F7/G7</f>
        <v>1</v>
      </c>
    </row>
    <row r="8" spans="1:8" x14ac:dyDescent="0.25">
      <c r="A8" s="95"/>
      <c r="C8" s="9"/>
      <c r="D8" t="s">
        <v>113</v>
      </c>
      <c r="E8" s="4" t="str">
        <f>$E$2-2&amp;" "&amp;$E$2-3&amp;" "&amp;$E$2-4</f>
        <v>2020 2019 2018</v>
      </c>
      <c r="F8" s="22">
        <v>48</v>
      </c>
      <c r="H8" s="7"/>
    </row>
    <row r="9" spans="1:8" x14ac:dyDescent="0.25">
      <c r="A9" s="95"/>
      <c r="C9" s="9"/>
      <c r="D9" t="s">
        <v>114</v>
      </c>
      <c r="E9" s="4" t="str">
        <f>$E$2-2&amp;" "&amp;$E$2-3&amp;" "&amp;$E$2-4</f>
        <v>2020 2019 2018</v>
      </c>
      <c r="F9" s="22">
        <v>48</v>
      </c>
      <c r="H9" s="7"/>
    </row>
    <row r="10" spans="1:8" x14ac:dyDescent="0.25">
      <c r="A10" s="81" t="s">
        <v>156</v>
      </c>
      <c r="C10" s="11" t="s">
        <v>147</v>
      </c>
      <c r="D10" s="1" t="s">
        <v>146</v>
      </c>
      <c r="E10" s="5"/>
      <c r="F10" s="1">
        <f>IFERROR(IF(F11/F12&lt;0.6,G10/3,IF(F11/F12*100&gt;=80,1,IF(F11/F12*100&lt;=20,0,(F11/F12*100-20)/80))*G10),G10/3)</f>
        <v>8.3333333333333339</v>
      </c>
      <c r="G10" s="2">
        <v>25</v>
      </c>
      <c r="H10" s="7">
        <f t="shared" ref="H10:H47" si="0">F10/G10</f>
        <v>0.33333333333333337</v>
      </c>
    </row>
    <row r="11" spans="1:8" x14ac:dyDescent="0.25">
      <c r="A11" s="81"/>
      <c r="C11" s="9"/>
      <c r="D11" t="s">
        <v>149</v>
      </c>
      <c r="E11" s="4" t="str">
        <f>$E$2-3&amp;" "&amp;$E$2-4</f>
        <v>2019 2018</v>
      </c>
      <c r="F11" s="22">
        <v>2</v>
      </c>
      <c r="H11" s="7"/>
    </row>
    <row r="12" spans="1:8" x14ac:dyDescent="0.25">
      <c r="A12" s="81"/>
      <c r="C12" s="9"/>
      <c r="D12" t="s">
        <v>148</v>
      </c>
      <c r="E12" s="4" t="str">
        <f>$E$2-3&amp;" "&amp;$E$2-4</f>
        <v>2019 2018</v>
      </c>
      <c r="F12" s="22">
        <v>21</v>
      </c>
      <c r="H12" s="7"/>
    </row>
    <row r="13" spans="1:8" x14ac:dyDescent="0.25">
      <c r="A13" s="95" t="s">
        <v>157</v>
      </c>
      <c r="C13" s="11" t="s">
        <v>151</v>
      </c>
      <c r="D13" s="1" t="s">
        <v>150</v>
      </c>
      <c r="E13" s="5"/>
      <c r="F13" s="1">
        <f>IFERROR(IF(F11/F14&lt;0.6,G13/3,IF(F11/F14*100&gt;=50,1,IF(F11/F14*100&lt;=10,0,(F11/F14*100-10)/40))*G10),G13/3)</f>
        <v>8.3333333333333339</v>
      </c>
      <c r="G13" s="2">
        <v>25</v>
      </c>
      <c r="H13" s="7">
        <f t="shared" si="0"/>
        <v>0.33333333333333337</v>
      </c>
    </row>
    <row r="14" spans="1:8" x14ac:dyDescent="0.25">
      <c r="A14" s="95"/>
      <c r="C14" s="9"/>
      <c r="D14" t="s">
        <v>152</v>
      </c>
      <c r="E14" s="4" t="str">
        <f>$E$2-6&amp;" "&amp;$E$2-7</f>
        <v>2016 2015</v>
      </c>
      <c r="F14" s="22">
        <v>37</v>
      </c>
      <c r="H14" s="7"/>
    </row>
    <row r="15" spans="1:8" x14ac:dyDescent="0.25">
      <c r="A15" s="81" t="s">
        <v>155</v>
      </c>
      <c r="C15" s="11" t="s">
        <v>154</v>
      </c>
      <c r="D15" s="1" t="s">
        <v>153</v>
      </c>
      <c r="E15" s="5"/>
      <c r="F15" s="1">
        <f>IFERROR(IF(OR(F17=0,F16/F17&lt;0.6),G15/3,IF(F16/F17*100&gt;=90,1,IF(F16/F17*100&lt;=30,0,(F16/F17*100-30)/60))*G15),G15/3)</f>
        <v>0.33333333333333331</v>
      </c>
      <c r="G15" s="1">
        <v>1</v>
      </c>
      <c r="H15" s="7">
        <f t="shared" si="0"/>
        <v>0.33333333333333331</v>
      </c>
    </row>
    <row r="16" spans="1:8" x14ac:dyDescent="0.25">
      <c r="A16" s="81"/>
      <c r="C16" s="9"/>
      <c r="D16" t="s">
        <v>174</v>
      </c>
      <c r="E16" s="4">
        <f>$E$2-3</f>
        <v>2019</v>
      </c>
      <c r="F16" s="22"/>
      <c r="H16" s="7"/>
    </row>
    <row r="17" spans="1:8" x14ac:dyDescent="0.25">
      <c r="A17" s="81"/>
      <c r="C17" s="9"/>
      <c r="D17" s="41" t="s">
        <v>175</v>
      </c>
      <c r="E17" s="4">
        <f>$E$2-3</f>
        <v>2019</v>
      </c>
      <c r="F17" s="22"/>
      <c r="H17" s="7"/>
    </row>
    <row r="18" spans="1:8" ht="15" customHeight="1" x14ac:dyDescent="0.25">
      <c r="A18" s="95" t="s">
        <v>59</v>
      </c>
      <c r="B18" s="93" t="s">
        <v>140</v>
      </c>
      <c r="C18" s="11" t="s">
        <v>159</v>
      </c>
      <c r="D18" s="13" t="s">
        <v>53</v>
      </c>
      <c r="E18" s="5"/>
      <c r="F18" s="1">
        <f>IFERROR(IF((F25/(F19+F22)+F26/(F20+F23)+F27/(F21+F24))/3*100&lt;=5,0,IF((F25/(F19+F22)+F26/(F20+F23)+F27/(F21+F24))/3*100&gt;=100,1,((F25/(F19+F22)+F26/(F20+F23)+F27/(F21+F24))/3*100-5)/95))*G18,"")</f>
        <v>0</v>
      </c>
      <c r="G18" s="1">
        <f>IF(OR(Главная!AI13=E3,Главная!AI14=E3,Главная!AI19=E3),8,0)</f>
        <v>0</v>
      </c>
      <c r="H18" s="7" t="e">
        <f t="shared" si="0"/>
        <v>#DIV/0!</v>
      </c>
    </row>
    <row r="19" spans="1:8" x14ac:dyDescent="0.25">
      <c r="A19" s="95"/>
      <c r="B19" s="94"/>
      <c r="C19" s="9"/>
      <c r="D19" s="12" t="s">
        <v>54</v>
      </c>
      <c r="E19" s="8">
        <f>$E$2-5</f>
        <v>2017</v>
      </c>
      <c r="F19" s="38">
        <v>1051.2</v>
      </c>
      <c r="H19" s="7"/>
    </row>
    <row r="20" spans="1:8" x14ac:dyDescent="0.25">
      <c r="A20" s="95"/>
      <c r="B20" s="94"/>
      <c r="C20" s="9"/>
      <c r="D20" s="12" t="s">
        <v>54</v>
      </c>
      <c r="E20" s="8">
        <f>$E$2-4</f>
        <v>2018</v>
      </c>
      <c r="F20" s="38">
        <v>1047.5</v>
      </c>
      <c r="H20" s="7"/>
    </row>
    <row r="21" spans="1:8" x14ac:dyDescent="0.25">
      <c r="A21" s="95"/>
      <c r="B21" s="94"/>
      <c r="C21" s="9"/>
      <c r="D21" s="12" t="s">
        <v>54</v>
      </c>
      <c r="E21" s="8">
        <f>$E$2-3</f>
        <v>2019</v>
      </c>
      <c r="F21" s="38">
        <v>1059.5</v>
      </c>
      <c r="H21" s="7"/>
    </row>
    <row r="22" spans="1:8" x14ac:dyDescent="0.25">
      <c r="A22" s="95"/>
      <c r="B22" s="94"/>
      <c r="C22" s="9"/>
      <c r="D22" s="12" t="s">
        <v>55</v>
      </c>
      <c r="E22" s="8">
        <f>$E$2-5</f>
        <v>2017</v>
      </c>
      <c r="F22" s="38">
        <v>56.2</v>
      </c>
      <c r="H22" s="7"/>
    </row>
    <row r="23" spans="1:8" x14ac:dyDescent="0.25">
      <c r="A23" s="95"/>
      <c r="B23" s="94"/>
      <c r="C23" s="9"/>
      <c r="D23" s="12" t="s">
        <v>55</v>
      </c>
      <c r="E23" s="8">
        <f>$E$2-4</f>
        <v>2018</v>
      </c>
      <c r="F23" s="38">
        <v>54.6</v>
      </c>
      <c r="H23" s="7"/>
    </row>
    <row r="24" spans="1:8" x14ac:dyDescent="0.25">
      <c r="A24" s="95"/>
      <c r="B24" s="94"/>
      <c r="C24" s="9"/>
      <c r="D24" s="12" t="s">
        <v>55</v>
      </c>
      <c r="E24" s="8">
        <f>$E$2-3</f>
        <v>2019</v>
      </c>
      <c r="F24" s="38">
        <v>56.5</v>
      </c>
      <c r="H24" s="7"/>
    </row>
    <row r="25" spans="1:8" x14ac:dyDescent="0.25">
      <c r="A25" s="95"/>
      <c r="B25" s="94"/>
      <c r="C25" s="9"/>
      <c r="D25" s="12" t="s">
        <v>56</v>
      </c>
      <c r="E25" s="8">
        <f>$E$2-5</f>
        <v>2017</v>
      </c>
      <c r="F25" s="38">
        <v>380</v>
      </c>
      <c r="H25" s="7"/>
    </row>
    <row r="26" spans="1:8" x14ac:dyDescent="0.25">
      <c r="A26" s="95"/>
      <c r="B26" s="94"/>
      <c r="C26" s="9"/>
      <c r="D26" s="12" t="s">
        <v>56</v>
      </c>
      <c r="E26" s="8">
        <f>$E$2-4</f>
        <v>2018</v>
      </c>
      <c r="F26" s="38">
        <v>830</v>
      </c>
      <c r="H26" s="7"/>
    </row>
    <row r="27" spans="1:8" x14ac:dyDescent="0.25">
      <c r="A27" s="95"/>
      <c r="B27" s="94"/>
      <c r="C27" s="9"/>
      <c r="D27" s="12" t="s">
        <v>56</v>
      </c>
      <c r="E27" s="8">
        <f>$E$2-3</f>
        <v>2019</v>
      </c>
      <c r="F27" s="38">
        <v>1149</v>
      </c>
      <c r="H27" s="7"/>
    </row>
    <row r="28" spans="1:8" x14ac:dyDescent="0.25">
      <c r="A28" s="81" t="s">
        <v>165</v>
      </c>
      <c r="B28" s="94"/>
      <c r="C28" s="11" t="s">
        <v>158</v>
      </c>
      <c r="D28" s="35" t="s">
        <v>57</v>
      </c>
      <c r="E28" s="36"/>
      <c r="F28" s="1">
        <f>IFERROR(IF((F29/(F19+F22)+F30/(F20+F23)+F31/(F21+F24))/3&lt;=100,0,IF((F29/(F19+F22)+F30/(F20+F23)+F31/(F21+F24))/3&gt;=1000,1,((F29/(F19+F22)+F30/(F20+F23)+F31/(F21+F24))/3-100)/900))*G28," ")</f>
        <v>0</v>
      </c>
      <c r="G28" s="1">
        <f>IF(OR(Главная!AI15=E3,Главная!AI16=E3,Главная!AI18=E3),10,IF(Главная!AI19=E3,12,IF(OR(Главная!AI13=E3,Главная!AI14=E3),8,0)))</f>
        <v>0</v>
      </c>
      <c r="H28" s="7" t="e">
        <f t="shared" si="0"/>
        <v>#DIV/0!</v>
      </c>
    </row>
    <row r="29" spans="1:8" x14ac:dyDescent="0.25">
      <c r="A29" s="81"/>
      <c r="B29" s="94"/>
      <c r="C29" s="9"/>
      <c r="D29" s="37" t="s">
        <v>161</v>
      </c>
      <c r="E29" s="8">
        <v>2017</v>
      </c>
      <c r="F29" s="38">
        <v>265431.7</v>
      </c>
      <c r="H29" s="7"/>
    </row>
    <row r="30" spans="1:8" x14ac:dyDescent="0.25">
      <c r="A30" s="81"/>
      <c r="B30" s="94"/>
      <c r="C30" s="9"/>
      <c r="D30" s="37" t="s">
        <v>161</v>
      </c>
      <c r="E30" s="8">
        <v>2018</v>
      </c>
      <c r="F30" s="38">
        <v>382808.6</v>
      </c>
      <c r="H30" s="7"/>
    </row>
    <row r="31" spans="1:8" x14ac:dyDescent="0.25">
      <c r="A31" s="81"/>
      <c r="B31" s="94"/>
      <c r="C31" s="9"/>
      <c r="D31" s="37" t="s">
        <v>161</v>
      </c>
      <c r="E31" s="8">
        <v>2019</v>
      </c>
      <c r="F31" s="38">
        <v>619984.4</v>
      </c>
      <c r="H31" s="7"/>
    </row>
    <row r="32" spans="1:8" x14ac:dyDescent="0.25">
      <c r="A32" s="95" t="s">
        <v>166</v>
      </c>
      <c r="B32" s="94"/>
      <c r="C32" s="11" t="s">
        <v>163</v>
      </c>
      <c r="D32" s="35" t="s">
        <v>162</v>
      </c>
      <c r="E32" s="5"/>
      <c r="F32" s="1">
        <f>IFERROR(IF(((F29-F33)/(F19+F22)+(F30-F34)/(F20+F23)+(F31-F35)/(F21+F24))/3&lt;=50,0,IF(((F29-F33)/(F19+F22)+(F30-F34)/(F20+F23)+(F31-F35)/(F21+F24))/3&gt;=500,1,(((F29-F33)/(F19+F22)+(F30-F34)/(F20+F23)+(F31-F35)/(F21+F24))/3-50)/450))*G32," ")</f>
        <v>0</v>
      </c>
      <c r="G32" s="1">
        <f>IF(OR(Главная!AI15=E3,Главная!AI16=E3,Главная!AI18=E3),10,IF(Главная!AI19=E3,4,IF(OR(Главная!AI13=E3,Главная!AI14=E3),8,0)))</f>
        <v>0</v>
      </c>
      <c r="H32" s="7" t="e">
        <f t="shared" si="0"/>
        <v>#DIV/0!</v>
      </c>
    </row>
    <row r="33" spans="1:8" x14ac:dyDescent="0.25">
      <c r="A33" s="95"/>
      <c r="B33" s="94"/>
      <c r="C33" s="9"/>
      <c r="D33" s="37" t="s">
        <v>160</v>
      </c>
      <c r="E33" s="8">
        <v>2017</v>
      </c>
      <c r="F33" s="38">
        <v>183704.3</v>
      </c>
      <c r="H33" s="7"/>
    </row>
    <row r="34" spans="1:8" x14ac:dyDescent="0.25">
      <c r="A34" s="95"/>
      <c r="B34" s="94"/>
      <c r="C34" s="9"/>
      <c r="D34" s="37" t="s">
        <v>160</v>
      </c>
      <c r="E34" s="8">
        <v>2018</v>
      </c>
      <c r="F34" s="22">
        <f>287544.4+37690</f>
        <v>325234.40000000002</v>
      </c>
      <c r="H34" s="7"/>
    </row>
    <row r="35" spans="1:8" x14ac:dyDescent="0.25">
      <c r="A35" s="95"/>
      <c r="B35" s="94"/>
      <c r="C35" s="9"/>
      <c r="D35" s="37" t="s">
        <v>160</v>
      </c>
      <c r="E35" s="8">
        <v>2019</v>
      </c>
      <c r="F35" s="22">
        <v>493354.8</v>
      </c>
      <c r="H35" s="7"/>
    </row>
    <row r="36" spans="1:8" x14ac:dyDescent="0.25">
      <c r="A36" s="81" t="s">
        <v>170</v>
      </c>
      <c r="B36" s="94"/>
      <c r="C36" s="11" t="s">
        <v>167</v>
      </c>
      <c r="D36" s="35" t="s">
        <v>164</v>
      </c>
      <c r="E36" s="5"/>
      <c r="F36" s="1">
        <f>IF((IF(F37&gt;=10,F40/F37,0)+IF(F38&gt;=10,F41/F38,0)+IF(F39&gt;=10,F42/F39,0))/3*100&lt;=1,0,IF((IF(F37&gt;=10,F40/F37,0)+IF(F38&gt;=10,F41/F38,0)+IF(F39&gt;=10,F42/F39,0))/3*100&gt;=15,1,((IF(F37&gt;=10,F40/F37,0)+IF(F38&gt;=10,F41/F38,0)+IF(F39&gt;=10,F42/F39,0))/3*100-1)/14))*G36</f>
        <v>16.92327518173807</v>
      </c>
      <c r="G36" s="1">
        <f>IF(OR(Главная!AI15=E3,Главная!AI16=E3,Главная!AI18=E3),10,IF(Главная!AI19=E3,8,IF(OR(Главная!AI13=E3,Главная!AI14=E3),8,20)))</f>
        <v>20</v>
      </c>
      <c r="H36" s="7">
        <f t="shared" si="0"/>
        <v>0.84616375908690356</v>
      </c>
    </row>
    <row r="37" spans="1:8" x14ac:dyDescent="0.25">
      <c r="A37" s="81"/>
      <c r="B37" s="94"/>
      <c r="C37" s="9"/>
      <c r="D37" s="37" t="s">
        <v>168</v>
      </c>
      <c r="E37" s="8" t="str">
        <f>"на 01.01."&amp;$E$2-4</f>
        <v>на 01.01.2018</v>
      </c>
      <c r="F37" s="22">
        <v>475</v>
      </c>
      <c r="H37" s="7"/>
    </row>
    <row r="38" spans="1:8" x14ac:dyDescent="0.25">
      <c r="A38" s="81"/>
      <c r="B38" s="94"/>
      <c r="D38" s="37" t="s">
        <v>168</v>
      </c>
      <c r="E38" s="8" t="str">
        <f>"на 01.01."&amp;$E$2-3</f>
        <v>на 01.01.2019</v>
      </c>
      <c r="F38" s="22">
        <v>473</v>
      </c>
      <c r="H38" s="7"/>
    </row>
    <row r="39" spans="1:8" x14ac:dyDescent="0.25">
      <c r="A39" s="81"/>
      <c r="B39" s="94"/>
      <c r="D39" s="37" t="s">
        <v>168</v>
      </c>
      <c r="E39" s="4" t="str">
        <f>"на 01.01."&amp;$E$2-2</f>
        <v>на 01.01.2020</v>
      </c>
      <c r="F39" s="22">
        <v>469</v>
      </c>
      <c r="H39" s="7"/>
    </row>
    <row r="40" spans="1:8" x14ac:dyDescent="0.25">
      <c r="A40" s="81"/>
      <c r="B40" s="94"/>
      <c r="D40" s="37" t="s">
        <v>169</v>
      </c>
      <c r="E40" s="8" t="str">
        <f>"на 01.01."&amp;$E$2-4</f>
        <v>на 01.01.2018</v>
      </c>
      <c r="F40" s="22">
        <v>59</v>
      </c>
      <c r="H40" s="7"/>
    </row>
    <row r="41" spans="1:8" x14ac:dyDescent="0.25">
      <c r="A41" s="81"/>
      <c r="B41" s="94"/>
      <c r="D41" s="37" t="s">
        <v>169</v>
      </c>
      <c r="E41" s="8" t="str">
        <f>"на 01.01."&amp;$E$2-3</f>
        <v>на 01.01.2019</v>
      </c>
      <c r="F41" s="22">
        <v>60</v>
      </c>
      <c r="H41" s="7"/>
    </row>
    <row r="42" spans="1:8" x14ac:dyDescent="0.25">
      <c r="A42" s="81"/>
      <c r="B42" s="94"/>
      <c r="D42" s="37" t="s">
        <v>169</v>
      </c>
      <c r="E42" s="4" t="str">
        <f>"на 01.01."&amp;$E$2-2</f>
        <v>на 01.01.2020</v>
      </c>
      <c r="F42" s="22">
        <v>63</v>
      </c>
      <c r="H42" s="7"/>
    </row>
    <row r="43" spans="1:8" x14ac:dyDescent="0.25">
      <c r="A43" s="95" t="s">
        <v>173</v>
      </c>
      <c r="B43" s="94"/>
      <c r="C43" s="1" t="s">
        <v>172</v>
      </c>
      <c r="D43" s="35" t="s">
        <v>171</v>
      </c>
      <c r="E43" s="5"/>
      <c r="F43" s="1">
        <f>IF((F44/(F19+F22)+F45/(F20+F23)+F46/(F21+F24))/3&gt;=5000,1,IF((F44/(F19+F22)+F45/(F20+F23)+F46/(F21+F24))/3&lt;=1000,0,((F44/(F19+F22)+F45/(F20+F23)+F46/(F21+F24))/3-1000)/4000))*G43</f>
        <v>20</v>
      </c>
      <c r="G43" s="1">
        <f>IF(OR(Главная!AI15=E3,Главная!AI16=E3,Главная!AI18=E3),10,IF(Главная!AI19=E3,8,IF(OR(Главная!AI13=E3,Главная!AI14=E3),8,20)))</f>
        <v>20</v>
      </c>
      <c r="H43" s="7">
        <f t="shared" si="0"/>
        <v>1</v>
      </c>
    </row>
    <row r="44" spans="1:8" x14ac:dyDescent="0.25">
      <c r="A44" s="95"/>
      <c r="B44" s="94"/>
      <c r="D44" s="12" t="s">
        <v>83</v>
      </c>
      <c r="E44" s="8">
        <f>$E$2-5</f>
        <v>2017</v>
      </c>
      <c r="F44" s="22">
        <v>5678492.5</v>
      </c>
      <c r="H44" s="7"/>
    </row>
    <row r="45" spans="1:8" x14ac:dyDescent="0.25">
      <c r="A45" s="95"/>
      <c r="B45" s="94"/>
      <c r="D45" s="12" t="s">
        <v>83</v>
      </c>
      <c r="E45" s="8">
        <f>$E$2-4</f>
        <v>2018</v>
      </c>
      <c r="F45" s="22">
        <v>6341442.5</v>
      </c>
      <c r="H45" s="7"/>
    </row>
    <row r="46" spans="1:8" x14ac:dyDescent="0.25">
      <c r="A46" s="95"/>
      <c r="B46" s="94"/>
      <c r="D46" s="12" t="s">
        <v>83</v>
      </c>
      <c r="E46" s="8">
        <f>$E$2-3</f>
        <v>2019</v>
      </c>
      <c r="F46" s="22">
        <v>7459397.7000000002</v>
      </c>
      <c r="H46" s="7"/>
    </row>
    <row r="47" spans="1:8" x14ac:dyDescent="0.25">
      <c r="B47" s="42"/>
      <c r="C47" s="1" t="s">
        <v>71</v>
      </c>
      <c r="D47" s="13" t="s">
        <v>70</v>
      </c>
      <c r="E47" s="5"/>
      <c r="F47" s="1">
        <f>SUM(F7,F10,F13,F15,F18,F28,F32,F36,F43,F50:F54)</f>
        <v>58.92327518173807</v>
      </c>
      <c r="G47" s="1">
        <v>100</v>
      </c>
      <c r="H47" s="7">
        <f t="shared" si="0"/>
        <v>0.58923275181738066</v>
      </c>
    </row>
    <row r="48" spans="1:8" x14ac:dyDescent="0.25">
      <c r="B48" s="42"/>
    </row>
    <row r="49" spans="2:8" x14ac:dyDescent="0.25">
      <c r="B49" s="42"/>
      <c r="C49" s="11" t="s">
        <v>96</v>
      </c>
      <c r="D49" s="86" t="s">
        <v>97</v>
      </c>
      <c r="E49" s="86"/>
      <c r="F49" s="86"/>
      <c r="G49" s="11"/>
      <c r="H49" s="7"/>
    </row>
    <row r="50" spans="2:8" x14ac:dyDescent="0.25">
      <c r="B50" s="42"/>
      <c r="C50" s="9"/>
      <c r="D50" s="26"/>
      <c r="E50" s="27"/>
      <c r="F50" s="24"/>
      <c r="G50" s="23"/>
      <c r="H50" s="7" t="e">
        <f t="shared" ref="H50:H54" si="1">F50/G50</f>
        <v>#DIV/0!</v>
      </c>
    </row>
    <row r="51" spans="2:8" x14ac:dyDescent="0.25">
      <c r="B51" s="42"/>
      <c r="C51" s="9"/>
      <c r="D51" s="28"/>
      <c r="E51" s="27"/>
      <c r="F51" s="25"/>
      <c r="G51" s="23"/>
      <c r="H51" s="7" t="e">
        <f t="shared" si="1"/>
        <v>#DIV/0!</v>
      </c>
    </row>
    <row r="52" spans="2:8" x14ac:dyDescent="0.25">
      <c r="C52" s="9"/>
      <c r="D52" s="28"/>
      <c r="E52" s="27"/>
      <c r="F52" s="25"/>
      <c r="G52" s="23"/>
      <c r="H52" s="7" t="e">
        <f t="shared" si="1"/>
        <v>#DIV/0!</v>
      </c>
    </row>
    <row r="53" spans="2:8" x14ac:dyDescent="0.25">
      <c r="C53" s="9"/>
      <c r="D53" s="28"/>
      <c r="E53" s="27"/>
      <c r="F53" s="25"/>
      <c r="G53" s="23"/>
      <c r="H53" s="7" t="e">
        <f t="shared" si="1"/>
        <v>#DIV/0!</v>
      </c>
    </row>
    <row r="54" spans="2:8" x14ac:dyDescent="0.25">
      <c r="C54" s="9"/>
      <c r="D54" s="28"/>
      <c r="E54" s="27"/>
      <c r="F54" s="25"/>
      <c r="G54" s="23"/>
      <c r="H54" s="7" t="e">
        <f t="shared" si="1"/>
        <v>#DIV/0!</v>
      </c>
    </row>
  </sheetData>
  <mergeCells count="11">
    <mergeCell ref="A43:A46"/>
    <mergeCell ref="B18:B46"/>
    <mergeCell ref="D49:F49"/>
    <mergeCell ref="A7:A9"/>
    <mergeCell ref="A10:A12"/>
    <mergeCell ref="A13:A14"/>
    <mergeCell ref="A15:A17"/>
    <mergeCell ref="A18:A27"/>
    <mergeCell ref="A28:A31"/>
    <mergeCell ref="A32:A35"/>
    <mergeCell ref="A36:A42"/>
  </mergeCells>
  <conditionalFormatting sqref="H1:H47">
    <cfRule type="iconSet" priority="10">
      <iconSet>
        <cfvo type="percent" val="0"/>
        <cfvo type="percent" val="33"/>
        <cfvo type="percent" val="67"/>
      </iconSet>
    </cfRule>
  </conditionalFormatting>
  <conditionalFormatting sqref="H49:H54">
    <cfRule type="iconSet" priority="1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Главная!$AI$13:$AI$19</xm:f>
          </x14:formula1>
          <xm:sqref>E3</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2">
    <tabColor rgb="FF7030A0"/>
  </sheetPr>
  <dimension ref="A1:H54"/>
  <sheetViews>
    <sheetView topLeftCell="D1" workbookViewId="0">
      <selection activeCell="I1" sqref="I1:I1048576"/>
    </sheetView>
  </sheetViews>
  <sheetFormatPr defaultRowHeight="15" x14ac:dyDescent="0.25"/>
  <cols>
    <col min="1" max="1" width="70.7109375" customWidth="1"/>
    <col min="4" max="4" width="57" customWidth="1"/>
    <col min="5" max="5" width="26.140625" style="4" customWidth="1"/>
    <col min="6" max="6" width="11.42578125" customWidth="1"/>
    <col min="7" max="7" width="20" customWidth="1"/>
    <col min="8" max="8" width="16" customWidth="1"/>
  </cols>
  <sheetData>
    <row r="1" spans="1:8" x14ac:dyDescent="0.25">
      <c r="D1" s="12"/>
    </row>
    <row r="2" spans="1:8" x14ac:dyDescent="0.25">
      <c r="A2" s="1" t="s">
        <v>80</v>
      </c>
      <c r="D2" s="12" t="s">
        <v>24</v>
      </c>
      <c r="E2" s="6">
        <v>2022</v>
      </c>
    </row>
    <row r="3" spans="1:8" x14ac:dyDescent="0.25">
      <c r="A3" t="s">
        <v>81</v>
      </c>
      <c r="D3" s="12"/>
      <c r="E3" s="6" t="s">
        <v>214</v>
      </c>
    </row>
    <row r="4" spans="1:8" x14ac:dyDescent="0.25">
      <c r="D4" s="12" t="s">
        <v>75</v>
      </c>
      <c r="E4" s="10">
        <f>F47</f>
        <v>44.245316676183549</v>
      </c>
      <c r="F4" t="s">
        <v>138</v>
      </c>
    </row>
    <row r="5" spans="1:8" x14ac:dyDescent="0.25">
      <c r="D5" s="12"/>
    </row>
    <row r="6" spans="1:8" x14ac:dyDescent="0.25">
      <c r="A6" t="s">
        <v>7</v>
      </c>
      <c r="C6" s="9"/>
      <c r="D6" s="12" t="s">
        <v>25</v>
      </c>
      <c r="E6" s="4" t="s">
        <v>21</v>
      </c>
      <c r="G6" t="s">
        <v>20</v>
      </c>
      <c r="H6" t="s">
        <v>42</v>
      </c>
    </row>
    <row r="7" spans="1:8" x14ac:dyDescent="0.25">
      <c r="A7" s="95" t="s">
        <v>10</v>
      </c>
      <c r="C7" s="11" t="s">
        <v>144</v>
      </c>
      <c r="D7" s="1" t="s">
        <v>2</v>
      </c>
      <c r="E7" s="60"/>
      <c r="F7" s="11">
        <f>IF(F8/F9*100&lt;=80,0,IF(F8/F9*100&gt;=100,1,(F8/F9*100-80)/20))*G7</f>
        <v>5</v>
      </c>
      <c r="G7" s="1">
        <v>5</v>
      </c>
      <c r="H7" s="7">
        <f>F7/G7</f>
        <v>1</v>
      </c>
    </row>
    <row r="8" spans="1:8" x14ac:dyDescent="0.25">
      <c r="A8" s="95"/>
      <c r="C8" s="9"/>
      <c r="D8" t="s">
        <v>113</v>
      </c>
      <c r="E8" s="4" t="str">
        <f>$E$2-2&amp;" "&amp;$E$2-3&amp;" "&amp;$E$2-4</f>
        <v>2020 2019 2018</v>
      </c>
      <c r="F8" s="22">
        <v>12</v>
      </c>
      <c r="H8" s="7"/>
    </row>
    <row r="9" spans="1:8" x14ac:dyDescent="0.25">
      <c r="A9" s="95"/>
      <c r="C9" s="9"/>
      <c r="D9" t="s">
        <v>114</v>
      </c>
      <c r="E9" s="4" t="str">
        <f>$E$2-2&amp;" "&amp;$E$2-3&amp;" "&amp;$E$2-4</f>
        <v>2020 2019 2018</v>
      </c>
      <c r="F9" s="22">
        <v>12</v>
      </c>
      <c r="H9" s="7"/>
    </row>
    <row r="10" spans="1:8" x14ac:dyDescent="0.25">
      <c r="A10" s="81" t="s">
        <v>156</v>
      </c>
      <c r="C10" s="11" t="s">
        <v>147</v>
      </c>
      <c r="D10" s="1" t="s">
        <v>146</v>
      </c>
      <c r="E10" s="5"/>
      <c r="F10" s="1">
        <f>IFERROR(IF(F11/F12&lt;0.6,G10/3,IF(F11/F12*100&gt;=80,1,IF(F11/F12*100&lt;=20,0,(F11/F12*100-20)/80))*G10),G10/3)</f>
        <v>8.3333333333333339</v>
      </c>
      <c r="G10" s="2">
        <v>25</v>
      </c>
      <c r="H10" s="7">
        <f t="shared" ref="H10:H47" si="0">F10/G10</f>
        <v>0.33333333333333337</v>
      </c>
    </row>
    <row r="11" spans="1:8" x14ac:dyDescent="0.25">
      <c r="A11" s="81"/>
      <c r="C11" s="9"/>
      <c r="D11" t="s">
        <v>149</v>
      </c>
      <c r="E11" s="4" t="str">
        <f>$E$2-3&amp;" "&amp;$E$2-4</f>
        <v>2019 2018</v>
      </c>
      <c r="F11" s="22"/>
      <c r="H11" s="7"/>
    </row>
    <row r="12" spans="1:8" x14ac:dyDescent="0.25">
      <c r="A12" s="81"/>
      <c r="C12" s="9"/>
      <c r="D12" t="s">
        <v>148</v>
      </c>
      <c r="E12" s="4" t="str">
        <f>$E$2-3&amp;" "&amp;$E$2-4</f>
        <v>2019 2018</v>
      </c>
      <c r="F12" s="22">
        <v>9</v>
      </c>
      <c r="H12" s="7"/>
    </row>
    <row r="13" spans="1:8" x14ac:dyDescent="0.25">
      <c r="A13" s="95" t="s">
        <v>157</v>
      </c>
      <c r="C13" s="11" t="s">
        <v>151</v>
      </c>
      <c r="D13" s="1" t="s">
        <v>150</v>
      </c>
      <c r="E13" s="5"/>
      <c r="F13" s="1">
        <f>IFERROR(IF(F11/F14&lt;0.6,G13/3,IF(F11/F14*100&gt;=50,1,IF(F11/F14*100&lt;=10,0,(F11/F14*100-10)/40))*G10),G13/3)</f>
        <v>8.3333333333333339</v>
      </c>
      <c r="G13" s="2">
        <v>25</v>
      </c>
      <c r="H13" s="7">
        <f t="shared" si="0"/>
        <v>0.33333333333333337</v>
      </c>
    </row>
    <row r="14" spans="1:8" x14ac:dyDescent="0.25">
      <c r="A14" s="95"/>
      <c r="C14" s="9"/>
      <c r="D14" t="s">
        <v>152</v>
      </c>
      <c r="E14" s="4" t="str">
        <f>$E$2-6&amp;" "&amp;$E$2-7</f>
        <v>2016 2015</v>
      </c>
      <c r="F14" s="22">
        <v>8</v>
      </c>
      <c r="H14" s="7"/>
    </row>
    <row r="15" spans="1:8" x14ac:dyDescent="0.25">
      <c r="A15" s="81" t="s">
        <v>155</v>
      </c>
      <c r="C15" s="11" t="s">
        <v>154</v>
      </c>
      <c r="D15" s="1" t="s">
        <v>153</v>
      </c>
      <c r="E15" s="5"/>
      <c r="F15" s="1">
        <f>IFERROR(IF(OR(F17=0,F16/F17&lt;0.6),G15/3,IF(F16/F17*100&gt;=90,1,IF(F16/F17*100&lt;=30,0,(F16/F17*100-30)/60))*G15),G15/3)</f>
        <v>0.33333333333333331</v>
      </c>
      <c r="G15" s="1">
        <v>1</v>
      </c>
      <c r="H15" s="7">
        <f t="shared" si="0"/>
        <v>0.33333333333333331</v>
      </c>
    </row>
    <row r="16" spans="1:8" x14ac:dyDescent="0.25">
      <c r="A16" s="81"/>
      <c r="C16" s="9"/>
      <c r="D16" t="s">
        <v>174</v>
      </c>
      <c r="E16" s="4">
        <f>$E$2-3</f>
        <v>2019</v>
      </c>
      <c r="F16" s="22"/>
      <c r="H16" s="7"/>
    </row>
    <row r="17" spans="1:8" x14ac:dyDescent="0.25">
      <c r="A17" s="81"/>
      <c r="C17" s="9"/>
      <c r="D17" s="41" t="s">
        <v>175</v>
      </c>
      <c r="E17" s="4">
        <f>$E$2-3</f>
        <v>2019</v>
      </c>
      <c r="F17" s="22"/>
      <c r="H17" s="7"/>
    </row>
    <row r="18" spans="1:8" ht="15" customHeight="1" x14ac:dyDescent="0.25">
      <c r="A18" s="95" t="s">
        <v>59</v>
      </c>
      <c r="B18" s="93" t="s">
        <v>140</v>
      </c>
      <c r="C18" s="11" t="s">
        <v>159</v>
      </c>
      <c r="D18" s="13" t="s">
        <v>53</v>
      </c>
      <c r="E18" s="5"/>
      <c r="F18" s="1">
        <f>IFERROR(IF((F25/(F19+F22)+F26/(F20+F23)+F27/(F21+F24))/3*100&lt;=5,0,IF((F25/(F19+F22)+F26/(F20+F23)+F27/(F21+F24))/3*100&gt;=100,1,((F25/(F19+F22)+F26/(F20+F23)+F27/(F21+F24))/3*100-5)/95))*G18,"")</f>
        <v>0</v>
      </c>
      <c r="G18" s="1">
        <f>IF(OR(Главная!AI13=E3,Главная!AI14=E3,Главная!AI19=E3),8,0)</f>
        <v>0</v>
      </c>
      <c r="H18" s="7" t="e">
        <f t="shared" si="0"/>
        <v>#DIV/0!</v>
      </c>
    </row>
    <row r="19" spans="1:8" x14ac:dyDescent="0.25">
      <c r="A19" s="95"/>
      <c r="B19" s="94"/>
      <c r="C19" s="9"/>
      <c r="D19" s="12" t="s">
        <v>54</v>
      </c>
      <c r="E19" s="8">
        <f>$E$2-5</f>
        <v>2017</v>
      </c>
      <c r="F19" s="38">
        <v>1051.2</v>
      </c>
      <c r="H19" s="7"/>
    </row>
    <row r="20" spans="1:8" x14ac:dyDescent="0.25">
      <c r="A20" s="95"/>
      <c r="B20" s="94"/>
      <c r="C20" s="9"/>
      <c r="D20" s="12" t="s">
        <v>54</v>
      </c>
      <c r="E20" s="8">
        <f>$E$2-4</f>
        <v>2018</v>
      </c>
      <c r="F20" s="38">
        <v>1047.5</v>
      </c>
      <c r="H20" s="7"/>
    </row>
    <row r="21" spans="1:8" x14ac:dyDescent="0.25">
      <c r="A21" s="95"/>
      <c r="B21" s="94"/>
      <c r="C21" s="9"/>
      <c r="D21" s="12" t="s">
        <v>54</v>
      </c>
      <c r="E21" s="8">
        <f>$E$2-3</f>
        <v>2019</v>
      </c>
      <c r="F21" s="38">
        <v>1059.5</v>
      </c>
      <c r="H21" s="7"/>
    </row>
    <row r="22" spans="1:8" x14ac:dyDescent="0.25">
      <c r="A22" s="95"/>
      <c r="B22" s="94"/>
      <c r="C22" s="9"/>
      <c r="D22" s="12" t="s">
        <v>55</v>
      </c>
      <c r="E22" s="8">
        <f>$E$2-5</f>
        <v>2017</v>
      </c>
      <c r="F22" s="38">
        <v>56.2</v>
      </c>
      <c r="H22" s="7"/>
    </row>
    <row r="23" spans="1:8" x14ac:dyDescent="0.25">
      <c r="A23" s="95"/>
      <c r="B23" s="94"/>
      <c r="C23" s="9"/>
      <c r="D23" s="12" t="s">
        <v>55</v>
      </c>
      <c r="E23" s="8">
        <f>$E$2-4</f>
        <v>2018</v>
      </c>
      <c r="F23" s="38">
        <v>54.6</v>
      </c>
      <c r="H23" s="7"/>
    </row>
    <row r="24" spans="1:8" x14ac:dyDescent="0.25">
      <c r="A24" s="95"/>
      <c r="B24" s="94"/>
      <c r="C24" s="9"/>
      <c r="D24" s="12" t="s">
        <v>55</v>
      </c>
      <c r="E24" s="8">
        <f>$E$2-3</f>
        <v>2019</v>
      </c>
      <c r="F24" s="38">
        <v>56.5</v>
      </c>
      <c r="H24" s="7"/>
    </row>
    <row r="25" spans="1:8" x14ac:dyDescent="0.25">
      <c r="A25" s="95"/>
      <c r="B25" s="94"/>
      <c r="C25" s="9"/>
      <c r="D25" s="12" t="s">
        <v>56</v>
      </c>
      <c r="E25" s="8">
        <f>$E$2-5</f>
        <v>2017</v>
      </c>
      <c r="F25" s="38">
        <v>380</v>
      </c>
      <c r="H25" s="7"/>
    </row>
    <row r="26" spans="1:8" x14ac:dyDescent="0.25">
      <c r="A26" s="95"/>
      <c r="B26" s="94"/>
      <c r="C26" s="9"/>
      <c r="D26" s="12" t="s">
        <v>56</v>
      </c>
      <c r="E26" s="8">
        <f>$E$2-4</f>
        <v>2018</v>
      </c>
      <c r="F26" s="38">
        <v>830</v>
      </c>
      <c r="H26" s="7"/>
    </row>
    <row r="27" spans="1:8" x14ac:dyDescent="0.25">
      <c r="A27" s="95"/>
      <c r="B27" s="94"/>
      <c r="C27" s="9"/>
      <c r="D27" s="12" t="s">
        <v>56</v>
      </c>
      <c r="E27" s="8">
        <f>$E$2-3</f>
        <v>2019</v>
      </c>
      <c r="F27" s="38">
        <v>1149</v>
      </c>
      <c r="H27" s="7"/>
    </row>
    <row r="28" spans="1:8" x14ac:dyDescent="0.25">
      <c r="A28" s="81" t="s">
        <v>165</v>
      </c>
      <c r="B28" s="94"/>
      <c r="C28" s="11" t="s">
        <v>158</v>
      </c>
      <c r="D28" s="35" t="s">
        <v>57</v>
      </c>
      <c r="E28" s="36"/>
      <c r="F28" s="1">
        <f>IFERROR(IF((F29/(F19+F22)+F30/(F20+F23)+F31/(F21+F24))/3&lt;=100,0,IF((F29/(F19+F22)+F30/(F20+F23)+F31/(F21+F24))/3&gt;=1000,1,((F29/(F19+F22)+F30/(F20+F23)+F31/(F21+F24))/3-100)/900))*G28," ")</f>
        <v>3.1206495340328533</v>
      </c>
      <c r="G28" s="1">
        <f>IF(OR(Главная!AI15=E3,Главная!AI16=E3,Главная!AI18=E3),10,IF(Главная!AI19=E3,12,IF(OR(Главная!AI13=E3,Главная!AI14=E3),8,0)))</f>
        <v>10</v>
      </c>
      <c r="H28" s="7">
        <f t="shared" si="0"/>
        <v>0.31206495340328533</v>
      </c>
    </row>
    <row r="29" spans="1:8" x14ac:dyDescent="0.25">
      <c r="A29" s="81"/>
      <c r="B29" s="94"/>
      <c r="C29" s="9"/>
      <c r="D29" s="37" t="s">
        <v>161</v>
      </c>
      <c r="E29" s="8">
        <v>2017</v>
      </c>
      <c r="F29" s="38">
        <v>265431.7</v>
      </c>
      <c r="H29" s="7"/>
    </row>
    <row r="30" spans="1:8" x14ac:dyDescent="0.25">
      <c r="A30" s="81"/>
      <c r="B30" s="94"/>
      <c r="C30" s="9"/>
      <c r="D30" s="37" t="s">
        <v>161</v>
      </c>
      <c r="E30" s="8">
        <v>2018</v>
      </c>
      <c r="F30" s="38">
        <v>382808.6</v>
      </c>
      <c r="H30" s="7"/>
    </row>
    <row r="31" spans="1:8" x14ac:dyDescent="0.25">
      <c r="A31" s="81"/>
      <c r="B31" s="94"/>
      <c r="C31" s="9"/>
      <c r="D31" s="37" t="s">
        <v>161</v>
      </c>
      <c r="E31" s="8">
        <v>2019</v>
      </c>
      <c r="F31" s="38">
        <v>619984.4</v>
      </c>
      <c r="H31" s="7"/>
    </row>
    <row r="32" spans="1:8" x14ac:dyDescent="0.25">
      <c r="A32" s="95" t="s">
        <v>166</v>
      </c>
      <c r="B32" s="94"/>
      <c r="C32" s="11" t="s">
        <v>163</v>
      </c>
      <c r="D32" s="35" t="s">
        <v>162</v>
      </c>
      <c r="E32" s="5"/>
      <c r="F32" s="1">
        <f>IFERROR(IF(((F29-F33)/(F19+F22)+(F30-F34)/(F20+F23)+(F31-F35)/(F21+F24))/3&lt;=50,0,IF(((F29-F33)/(F19+F22)+(F30-F34)/(F20+F23)+(F31-F35)/(F21+F24))/3&gt;=500,1,(((F29-F33)/(F19+F22)+(F30-F34)/(F20+F23)+(F31-F35)/(F21+F24))/3-50)/450))*G32," ")</f>
        <v>0.66302955128165852</v>
      </c>
      <c r="G32" s="1">
        <f>IF(OR(Главная!AI15=E3,Главная!AI16=E3,Главная!AI18=E3),10,IF(Главная!AI19=E3,4,IF(OR(Главная!AI13=E3,Главная!AI14=E3),8,0)))</f>
        <v>10</v>
      </c>
      <c r="H32" s="7">
        <f t="shared" si="0"/>
        <v>6.630295512816585E-2</v>
      </c>
    </row>
    <row r="33" spans="1:8" x14ac:dyDescent="0.25">
      <c r="A33" s="95"/>
      <c r="B33" s="94"/>
      <c r="C33" s="9"/>
      <c r="D33" s="37" t="s">
        <v>160</v>
      </c>
      <c r="E33" s="8">
        <v>2017</v>
      </c>
      <c r="F33" s="38">
        <v>183704.3</v>
      </c>
      <c r="H33" s="7"/>
    </row>
    <row r="34" spans="1:8" x14ac:dyDescent="0.25">
      <c r="A34" s="95"/>
      <c r="B34" s="94"/>
      <c r="C34" s="9"/>
      <c r="D34" s="37" t="s">
        <v>160</v>
      </c>
      <c r="E34" s="8">
        <v>2018</v>
      </c>
      <c r="F34" s="22">
        <f>287544.4+37690</f>
        <v>325234.40000000002</v>
      </c>
      <c r="H34" s="7"/>
    </row>
    <row r="35" spans="1:8" x14ac:dyDescent="0.25">
      <c r="A35" s="95"/>
      <c r="B35" s="94"/>
      <c r="C35" s="9"/>
      <c r="D35" s="37" t="s">
        <v>160</v>
      </c>
      <c r="E35" s="8">
        <v>2019</v>
      </c>
      <c r="F35" s="22">
        <v>493354.8</v>
      </c>
      <c r="H35" s="7"/>
    </row>
    <row r="36" spans="1:8" x14ac:dyDescent="0.25">
      <c r="A36" s="81" t="s">
        <v>170</v>
      </c>
      <c r="B36" s="94"/>
      <c r="C36" s="11" t="s">
        <v>167</v>
      </c>
      <c r="D36" s="35" t="s">
        <v>164</v>
      </c>
      <c r="E36" s="5"/>
      <c r="F36" s="1">
        <f>IF((IF(F37&gt;=10,F40/F37,0)+IF(F38&gt;=10,F41/F38,0)+IF(F39&gt;=10,F42/F39,0))/3*100&lt;=1,0,IF((IF(F37&gt;=10,F40/F37,0)+IF(F38&gt;=10,F41/F38,0)+IF(F39&gt;=10,F42/F39,0))/3*100&gt;=15,1,((IF(F37&gt;=10,F40/F37,0)+IF(F38&gt;=10,F41/F38,0)+IF(F39&gt;=10,F42/F39,0))/3*100-1)/14))*G36</f>
        <v>8.4616375908690351</v>
      </c>
      <c r="G36" s="1">
        <f>IF(OR(Главная!AI15=E3,Главная!AI16=E3,Главная!AI18=E3),10,IF(Главная!AI19=E3,8,IF(OR(Главная!AI13=E3,Главная!AI14=E3),8,20)))</f>
        <v>10</v>
      </c>
      <c r="H36" s="7">
        <f t="shared" si="0"/>
        <v>0.84616375908690356</v>
      </c>
    </row>
    <row r="37" spans="1:8" x14ac:dyDescent="0.25">
      <c r="A37" s="81"/>
      <c r="B37" s="94"/>
      <c r="C37" s="9"/>
      <c r="D37" s="37" t="s">
        <v>168</v>
      </c>
      <c r="E37" s="8" t="str">
        <f>"на 01.01."&amp;$E$2-4</f>
        <v>на 01.01.2018</v>
      </c>
      <c r="F37" s="22">
        <v>475</v>
      </c>
      <c r="H37" s="7"/>
    </row>
    <row r="38" spans="1:8" x14ac:dyDescent="0.25">
      <c r="A38" s="81"/>
      <c r="B38" s="94"/>
      <c r="D38" s="37" t="s">
        <v>168</v>
      </c>
      <c r="E38" s="8" t="str">
        <f>"на 01.01."&amp;$E$2-3</f>
        <v>на 01.01.2019</v>
      </c>
      <c r="F38" s="22">
        <v>473</v>
      </c>
      <c r="H38" s="7"/>
    </row>
    <row r="39" spans="1:8" x14ac:dyDescent="0.25">
      <c r="A39" s="81"/>
      <c r="B39" s="94"/>
      <c r="D39" s="37" t="s">
        <v>168</v>
      </c>
      <c r="E39" s="4" t="str">
        <f>"на 01.01."&amp;$E$2-2</f>
        <v>на 01.01.2020</v>
      </c>
      <c r="F39" s="22">
        <v>469</v>
      </c>
      <c r="H39" s="7"/>
    </row>
    <row r="40" spans="1:8" x14ac:dyDescent="0.25">
      <c r="A40" s="81"/>
      <c r="B40" s="94"/>
      <c r="D40" s="37" t="s">
        <v>169</v>
      </c>
      <c r="E40" s="8" t="str">
        <f>"на 01.01."&amp;$E$2-4</f>
        <v>на 01.01.2018</v>
      </c>
      <c r="F40" s="22">
        <v>59</v>
      </c>
      <c r="H40" s="7"/>
    </row>
    <row r="41" spans="1:8" x14ac:dyDescent="0.25">
      <c r="A41" s="81"/>
      <c r="B41" s="94"/>
      <c r="D41" s="37" t="s">
        <v>169</v>
      </c>
      <c r="E41" s="8" t="str">
        <f>"на 01.01."&amp;$E$2-3</f>
        <v>на 01.01.2019</v>
      </c>
      <c r="F41" s="22">
        <v>60</v>
      </c>
      <c r="H41" s="7"/>
    </row>
    <row r="42" spans="1:8" x14ac:dyDescent="0.25">
      <c r="A42" s="81"/>
      <c r="B42" s="94"/>
      <c r="D42" s="37" t="s">
        <v>169</v>
      </c>
      <c r="E42" s="4" t="str">
        <f>"на 01.01."&amp;$E$2-2</f>
        <v>на 01.01.2020</v>
      </c>
      <c r="F42" s="22">
        <v>63</v>
      </c>
      <c r="H42" s="7"/>
    </row>
    <row r="43" spans="1:8" x14ac:dyDescent="0.25">
      <c r="A43" s="95" t="s">
        <v>173</v>
      </c>
      <c r="B43" s="94"/>
      <c r="C43" s="1" t="s">
        <v>172</v>
      </c>
      <c r="D43" s="35" t="s">
        <v>171</v>
      </c>
      <c r="E43" s="5"/>
      <c r="F43" s="1">
        <f>IF((F44/(F19+F22)+F45/(F20+F23)+F46/(F21+F24))/3&gt;=5000,1,IF((F44/(F19+F22)+F45/(F20+F23)+F46/(F21+F24))/3&lt;=1000,0,((F44/(F19+F22)+F45/(F20+F23)+F46/(F21+F24))/3-1000)/4000))*G43</f>
        <v>10</v>
      </c>
      <c r="G43" s="1">
        <f>IF(OR(Главная!AI15=E3,Главная!AI16=E3,Главная!AI18=E3),10,IF(Главная!AI19=E3,8,IF(OR(Главная!AI13=E3,Главная!AI14=E3),8,20)))</f>
        <v>10</v>
      </c>
      <c r="H43" s="7">
        <f t="shared" si="0"/>
        <v>1</v>
      </c>
    </row>
    <row r="44" spans="1:8" x14ac:dyDescent="0.25">
      <c r="A44" s="95"/>
      <c r="B44" s="94"/>
      <c r="D44" s="12" t="s">
        <v>83</v>
      </c>
      <c r="E44" s="8">
        <f>$E$2-5</f>
        <v>2017</v>
      </c>
      <c r="F44" s="22">
        <v>5678492.5</v>
      </c>
      <c r="H44" s="7"/>
    </row>
    <row r="45" spans="1:8" x14ac:dyDescent="0.25">
      <c r="A45" s="95"/>
      <c r="B45" s="94"/>
      <c r="D45" s="12" t="s">
        <v>83</v>
      </c>
      <c r="E45" s="8">
        <f>$E$2-4</f>
        <v>2018</v>
      </c>
      <c r="F45" s="22">
        <v>6341442.5</v>
      </c>
      <c r="H45" s="7"/>
    </row>
    <row r="46" spans="1:8" x14ac:dyDescent="0.25">
      <c r="A46" s="95"/>
      <c r="B46" s="94"/>
      <c r="D46" s="12" t="s">
        <v>83</v>
      </c>
      <c r="E46" s="8">
        <f>$E$2-3</f>
        <v>2019</v>
      </c>
      <c r="F46" s="22">
        <v>7459397.7000000002</v>
      </c>
      <c r="H46" s="7"/>
    </row>
    <row r="47" spans="1:8" x14ac:dyDescent="0.25">
      <c r="B47" s="42"/>
      <c r="C47" s="1" t="s">
        <v>71</v>
      </c>
      <c r="D47" s="13" t="s">
        <v>70</v>
      </c>
      <c r="E47" s="5"/>
      <c r="F47" s="1">
        <f>SUM(F7,F10,F13,F15,F18,F28,F32,F36,F43,F50:F54)</f>
        <v>44.245316676183549</v>
      </c>
      <c r="G47" s="1">
        <v>100</v>
      </c>
      <c r="H47" s="7">
        <f t="shared" si="0"/>
        <v>0.44245316676183549</v>
      </c>
    </row>
    <row r="48" spans="1:8" x14ac:dyDescent="0.25">
      <c r="B48" s="42"/>
    </row>
    <row r="49" spans="2:8" x14ac:dyDescent="0.25">
      <c r="B49" s="42"/>
      <c r="C49" s="11" t="s">
        <v>96</v>
      </c>
      <c r="D49" s="86" t="s">
        <v>97</v>
      </c>
      <c r="E49" s="86"/>
      <c r="F49" s="86"/>
      <c r="G49" s="11"/>
      <c r="H49" s="7"/>
    </row>
    <row r="50" spans="2:8" x14ac:dyDescent="0.25">
      <c r="B50" s="42"/>
      <c r="C50" s="9"/>
      <c r="D50" s="26"/>
      <c r="E50" s="27"/>
      <c r="F50" s="24"/>
      <c r="G50" s="23"/>
      <c r="H50" s="7" t="e">
        <f t="shared" ref="H50:H54" si="1">F50/G50</f>
        <v>#DIV/0!</v>
      </c>
    </row>
    <row r="51" spans="2:8" x14ac:dyDescent="0.25">
      <c r="B51" s="42"/>
      <c r="C51" s="9"/>
      <c r="D51" s="28"/>
      <c r="E51" s="27"/>
      <c r="F51" s="25"/>
      <c r="G51" s="23"/>
      <c r="H51" s="7" t="e">
        <f t="shared" si="1"/>
        <v>#DIV/0!</v>
      </c>
    </row>
    <row r="52" spans="2:8" x14ac:dyDescent="0.25">
      <c r="C52" s="9"/>
      <c r="D52" s="28"/>
      <c r="E52" s="27"/>
      <c r="F52" s="25"/>
      <c r="G52" s="23"/>
      <c r="H52" s="7" t="e">
        <f t="shared" si="1"/>
        <v>#DIV/0!</v>
      </c>
    </row>
    <row r="53" spans="2:8" x14ac:dyDescent="0.25">
      <c r="C53" s="9"/>
      <c r="D53" s="28"/>
      <c r="E53" s="27"/>
      <c r="F53" s="25"/>
      <c r="G53" s="23"/>
      <c r="H53" s="7" t="e">
        <f t="shared" si="1"/>
        <v>#DIV/0!</v>
      </c>
    </row>
    <row r="54" spans="2:8" x14ac:dyDescent="0.25">
      <c r="C54" s="9"/>
      <c r="D54" s="28"/>
      <c r="E54" s="27"/>
      <c r="F54" s="25"/>
      <c r="G54" s="23"/>
      <c r="H54" s="7" t="e">
        <f t="shared" si="1"/>
        <v>#DIV/0!</v>
      </c>
    </row>
  </sheetData>
  <mergeCells count="11">
    <mergeCell ref="A43:A46"/>
    <mergeCell ref="B18:B46"/>
    <mergeCell ref="D49:F49"/>
    <mergeCell ref="A7:A9"/>
    <mergeCell ref="A10:A12"/>
    <mergeCell ref="A13:A14"/>
    <mergeCell ref="A15:A17"/>
    <mergeCell ref="A18:A27"/>
    <mergeCell ref="A28:A31"/>
    <mergeCell ref="A32:A35"/>
    <mergeCell ref="A36:A42"/>
  </mergeCells>
  <conditionalFormatting sqref="H1:H47">
    <cfRule type="iconSet" priority="2">
      <iconSet>
        <cfvo type="percent" val="0"/>
        <cfvo type="percent" val="33"/>
        <cfvo type="percent" val="67"/>
      </iconSet>
    </cfRule>
  </conditionalFormatting>
  <conditionalFormatting sqref="H49:H54">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Главная!$AI$13:$AI$19</xm:f>
          </x14:formula1>
          <xm:sqref>E3</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3">
    <tabColor rgb="FF7030A0"/>
  </sheetPr>
  <dimension ref="A1:H54"/>
  <sheetViews>
    <sheetView workbookViewId="0">
      <selection sqref="A1:A1048576"/>
    </sheetView>
  </sheetViews>
  <sheetFormatPr defaultRowHeight="15" x14ac:dyDescent="0.25"/>
  <cols>
    <col min="1" max="1" width="70.7109375" customWidth="1"/>
    <col min="4" max="4" width="57" customWidth="1"/>
    <col min="5" max="5" width="26.140625" style="4" customWidth="1"/>
    <col min="6" max="6" width="11.42578125" customWidth="1"/>
    <col min="7" max="7" width="20" customWidth="1"/>
    <col min="8" max="8" width="16" customWidth="1"/>
  </cols>
  <sheetData>
    <row r="1" spans="1:8" x14ac:dyDescent="0.25">
      <c r="D1" s="12"/>
    </row>
    <row r="2" spans="1:8" x14ac:dyDescent="0.25">
      <c r="A2" s="1" t="s">
        <v>80</v>
      </c>
      <c r="D2" s="12" t="s">
        <v>24</v>
      </c>
      <c r="E2" s="6">
        <v>2022</v>
      </c>
    </row>
    <row r="3" spans="1:8" x14ac:dyDescent="0.25">
      <c r="A3" t="s">
        <v>81</v>
      </c>
      <c r="D3" s="12"/>
      <c r="E3" s="6" t="s">
        <v>215</v>
      </c>
    </row>
    <row r="4" spans="1:8" x14ac:dyDescent="0.25">
      <c r="D4" s="12" t="s">
        <v>75</v>
      </c>
      <c r="E4" s="10">
        <f>F47</f>
        <v>46.325473134605978</v>
      </c>
      <c r="F4" t="s">
        <v>138</v>
      </c>
    </row>
    <row r="5" spans="1:8" x14ac:dyDescent="0.25">
      <c r="D5" s="12"/>
    </row>
    <row r="6" spans="1:8" x14ac:dyDescent="0.25">
      <c r="A6" t="s">
        <v>7</v>
      </c>
      <c r="C6" s="9"/>
      <c r="D6" s="12" t="s">
        <v>25</v>
      </c>
      <c r="E6" s="4" t="s">
        <v>21</v>
      </c>
      <c r="G6" t="s">
        <v>20</v>
      </c>
      <c r="H6" t="s">
        <v>42</v>
      </c>
    </row>
    <row r="7" spans="1:8" x14ac:dyDescent="0.25">
      <c r="A7" s="95" t="s">
        <v>10</v>
      </c>
      <c r="C7" s="11" t="s">
        <v>144</v>
      </c>
      <c r="D7" s="1" t="s">
        <v>2</v>
      </c>
      <c r="E7" s="60"/>
      <c r="F7" s="11">
        <f>IF(F8/F9*100&lt;=80,0,IF(F8/F9*100&gt;=100,1,(F8/F9*100-80)/20))*G7</f>
        <v>5</v>
      </c>
      <c r="G7" s="1">
        <v>5</v>
      </c>
      <c r="H7" s="7">
        <f>F7/G7</f>
        <v>1</v>
      </c>
    </row>
    <row r="8" spans="1:8" x14ac:dyDescent="0.25">
      <c r="A8" s="95"/>
      <c r="C8" s="9"/>
      <c r="D8" t="s">
        <v>113</v>
      </c>
      <c r="E8" s="4" t="str">
        <f>$E$2-2&amp;" "&amp;$E$2-3&amp;" "&amp;$E$2-4</f>
        <v>2020 2019 2018</v>
      </c>
      <c r="F8" s="22">
        <v>2</v>
      </c>
      <c r="H8" s="7"/>
    </row>
    <row r="9" spans="1:8" x14ac:dyDescent="0.25">
      <c r="A9" s="95"/>
      <c r="C9" s="9"/>
      <c r="D9" t="s">
        <v>114</v>
      </c>
      <c r="E9" s="4" t="str">
        <f>$E$2-2&amp;" "&amp;$E$2-3&amp;" "&amp;$E$2-4</f>
        <v>2020 2019 2018</v>
      </c>
      <c r="F9" s="22">
        <v>2</v>
      </c>
      <c r="H9" s="7"/>
    </row>
    <row r="10" spans="1:8" x14ac:dyDescent="0.25">
      <c r="A10" s="81" t="s">
        <v>156</v>
      </c>
      <c r="C10" s="11" t="s">
        <v>147</v>
      </c>
      <c r="D10" s="1" t="s">
        <v>146</v>
      </c>
      <c r="E10" s="5"/>
      <c r="F10" s="1">
        <f>IFERROR(IF(F11/F12&lt;0.6,G10/3,IF(F11/F12*100&gt;=80,1,IF(F11/F12*100&lt;=20,0,(F11/F12*100-20)/80))*G10),G10/3)</f>
        <v>8.3333333333333339</v>
      </c>
      <c r="G10" s="2">
        <v>25</v>
      </c>
      <c r="H10" s="7">
        <f t="shared" ref="H10:H47" si="0">F10/G10</f>
        <v>0.33333333333333337</v>
      </c>
    </row>
    <row r="11" spans="1:8" x14ac:dyDescent="0.25">
      <c r="A11" s="81"/>
      <c r="C11" s="9"/>
      <c r="D11" t="s">
        <v>149</v>
      </c>
      <c r="E11" s="4" t="str">
        <f>$E$2-3&amp;" "&amp;$E$2-4</f>
        <v>2019 2018</v>
      </c>
      <c r="F11" s="22"/>
      <c r="H11" s="7"/>
    </row>
    <row r="12" spans="1:8" x14ac:dyDescent="0.25">
      <c r="A12" s="81"/>
      <c r="C12" s="9"/>
      <c r="D12" t="s">
        <v>148</v>
      </c>
      <c r="E12" s="4" t="str">
        <f>$E$2-3&amp;" "&amp;$E$2-4</f>
        <v>2019 2018</v>
      </c>
      <c r="F12" s="22">
        <v>1</v>
      </c>
      <c r="H12" s="7"/>
    </row>
    <row r="13" spans="1:8" x14ac:dyDescent="0.25">
      <c r="A13" s="95" t="s">
        <v>157</v>
      </c>
      <c r="C13" s="11" t="s">
        <v>151</v>
      </c>
      <c r="D13" s="1" t="s">
        <v>150</v>
      </c>
      <c r="E13" s="5"/>
      <c r="F13" s="1">
        <f>IFERROR(IF(F11/F14&lt;0.6,G13/3,IF(F11/F14*100&gt;=50,1,IF(F11/F14*100&lt;=10,0,(F11/F14*100-10)/40))*G10),G13/3)</f>
        <v>8.3333333333333339</v>
      </c>
      <c r="G13" s="2">
        <v>25</v>
      </c>
      <c r="H13" s="7">
        <f t="shared" si="0"/>
        <v>0.33333333333333337</v>
      </c>
    </row>
    <row r="14" spans="1:8" x14ac:dyDescent="0.25">
      <c r="A14" s="95"/>
      <c r="C14" s="9"/>
      <c r="D14" t="s">
        <v>152</v>
      </c>
      <c r="E14" s="4" t="str">
        <f>$E$2-6&amp;" "&amp;$E$2-7</f>
        <v>2016 2015</v>
      </c>
      <c r="F14" s="22">
        <v>4</v>
      </c>
      <c r="H14" s="7"/>
    </row>
    <row r="15" spans="1:8" x14ac:dyDescent="0.25">
      <c r="A15" s="81" t="s">
        <v>155</v>
      </c>
      <c r="C15" s="11" t="s">
        <v>154</v>
      </c>
      <c r="D15" s="1" t="s">
        <v>153</v>
      </c>
      <c r="E15" s="5"/>
      <c r="F15" s="1">
        <f>IFERROR(IF(OR(F17=0,F16/F17&lt;0.6),G15/3,IF(F16/F17*100&gt;=90,1,IF(F16/F17*100&lt;=30,0,(F16/F17*100-30)/60))*G15),G15/3)</f>
        <v>0.33333333333333331</v>
      </c>
      <c r="G15" s="1">
        <v>1</v>
      </c>
      <c r="H15" s="7">
        <f t="shared" si="0"/>
        <v>0.33333333333333331</v>
      </c>
    </row>
    <row r="16" spans="1:8" x14ac:dyDescent="0.25">
      <c r="A16" s="81"/>
      <c r="C16" s="9"/>
      <c r="D16" t="s">
        <v>174</v>
      </c>
      <c r="E16" s="4">
        <f>$E$2-3</f>
        <v>2019</v>
      </c>
      <c r="F16" s="22"/>
      <c r="H16" s="7"/>
    </row>
    <row r="17" spans="1:8" x14ac:dyDescent="0.25">
      <c r="A17" s="81"/>
      <c r="C17" s="9"/>
      <c r="D17" s="41" t="s">
        <v>175</v>
      </c>
      <c r="E17" s="4">
        <f>$E$2-3</f>
        <v>2019</v>
      </c>
      <c r="F17" s="22"/>
      <c r="H17" s="7"/>
    </row>
    <row r="18" spans="1:8" ht="15" customHeight="1" x14ac:dyDescent="0.25">
      <c r="A18" s="95" t="s">
        <v>59</v>
      </c>
      <c r="B18" s="93" t="s">
        <v>140</v>
      </c>
      <c r="C18" s="11" t="s">
        <v>159</v>
      </c>
      <c r="D18" s="13" t="s">
        <v>53</v>
      </c>
      <c r="E18" s="5"/>
      <c r="F18" s="1">
        <f>IFERROR(IF((F25/(F19+F22)+F26/(F20+F23)+F27/(F21+F24))/3*100&lt;=5,0,IF((F25/(F19+F22)+F26/(F20+F23)+F27/(F21+F24))/3*100&gt;=100,1,((F25/(F19+F22)+F26/(F20+F23)+F27/(F21+F24))/3*100-5)/95))*G18,"")</f>
        <v>5.5461718005586649</v>
      </c>
      <c r="G18" s="1">
        <f>IF(OR(Главная!AI13=E3,Главная!AI14=E3,Главная!AI19=E3),8,0)</f>
        <v>8</v>
      </c>
      <c r="H18" s="7">
        <f t="shared" si="0"/>
        <v>0.69327147506983311</v>
      </c>
    </row>
    <row r="19" spans="1:8" x14ac:dyDescent="0.25">
      <c r="A19" s="95"/>
      <c r="B19" s="94"/>
      <c r="C19" s="9"/>
      <c r="D19" s="12" t="s">
        <v>54</v>
      </c>
      <c r="E19" s="8">
        <f>$E$2-5</f>
        <v>2017</v>
      </c>
      <c r="F19" s="38">
        <v>1051.2</v>
      </c>
      <c r="H19" s="7"/>
    </row>
    <row r="20" spans="1:8" x14ac:dyDescent="0.25">
      <c r="A20" s="95"/>
      <c r="B20" s="94"/>
      <c r="C20" s="9"/>
      <c r="D20" s="12" t="s">
        <v>54</v>
      </c>
      <c r="E20" s="8">
        <f>$E$2-4</f>
        <v>2018</v>
      </c>
      <c r="F20" s="38">
        <v>1047.5</v>
      </c>
      <c r="H20" s="7"/>
    </row>
    <row r="21" spans="1:8" x14ac:dyDescent="0.25">
      <c r="A21" s="95"/>
      <c r="B21" s="94"/>
      <c r="C21" s="9"/>
      <c r="D21" s="12" t="s">
        <v>54</v>
      </c>
      <c r="E21" s="8">
        <f>$E$2-3</f>
        <v>2019</v>
      </c>
      <c r="F21" s="38">
        <v>1059.5</v>
      </c>
      <c r="H21" s="7"/>
    </row>
    <row r="22" spans="1:8" x14ac:dyDescent="0.25">
      <c r="A22" s="95"/>
      <c r="B22" s="94"/>
      <c r="C22" s="9"/>
      <c r="D22" s="12" t="s">
        <v>55</v>
      </c>
      <c r="E22" s="8">
        <f>$E$2-5</f>
        <v>2017</v>
      </c>
      <c r="F22" s="38">
        <v>56.2</v>
      </c>
      <c r="H22" s="7"/>
    </row>
    <row r="23" spans="1:8" x14ac:dyDescent="0.25">
      <c r="A23" s="95"/>
      <c r="B23" s="94"/>
      <c r="C23" s="9"/>
      <c r="D23" s="12" t="s">
        <v>55</v>
      </c>
      <c r="E23" s="8">
        <f>$E$2-4</f>
        <v>2018</v>
      </c>
      <c r="F23" s="38">
        <v>54.6</v>
      </c>
      <c r="H23" s="7"/>
    </row>
    <row r="24" spans="1:8" x14ac:dyDescent="0.25">
      <c r="A24" s="95"/>
      <c r="B24" s="94"/>
      <c r="C24" s="9"/>
      <c r="D24" s="12" t="s">
        <v>55</v>
      </c>
      <c r="E24" s="8">
        <f>$E$2-3</f>
        <v>2019</v>
      </c>
      <c r="F24" s="38">
        <v>56.5</v>
      </c>
      <c r="H24" s="7"/>
    </row>
    <row r="25" spans="1:8" x14ac:dyDescent="0.25">
      <c r="A25" s="95"/>
      <c r="B25" s="94"/>
      <c r="C25" s="9"/>
      <c r="D25" s="12" t="s">
        <v>56</v>
      </c>
      <c r="E25" s="8">
        <f>$E$2-5</f>
        <v>2017</v>
      </c>
      <c r="F25" s="38">
        <v>380</v>
      </c>
      <c r="H25" s="7"/>
    </row>
    <row r="26" spans="1:8" x14ac:dyDescent="0.25">
      <c r="A26" s="95"/>
      <c r="B26" s="94"/>
      <c r="C26" s="9"/>
      <c r="D26" s="12" t="s">
        <v>56</v>
      </c>
      <c r="E26" s="8">
        <f>$E$2-4</f>
        <v>2018</v>
      </c>
      <c r="F26" s="38">
        <v>830</v>
      </c>
      <c r="H26" s="7"/>
    </row>
    <row r="27" spans="1:8" x14ac:dyDescent="0.25">
      <c r="A27" s="95"/>
      <c r="B27" s="94"/>
      <c r="C27" s="9"/>
      <c r="D27" s="12" t="s">
        <v>56</v>
      </c>
      <c r="E27" s="8">
        <f>$E$2-3</f>
        <v>2019</v>
      </c>
      <c r="F27" s="38">
        <v>1149</v>
      </c>
      <c r="H27" s="7"/>
    </row>
    <row r="28" spans="1:8" x14ac:dyDescent="0.25">
      <c r="A28" s="81" t="s">
        <v>165</v>
      </c>
      <c r="B28" s="94"/>
      <c r="C28" s="11" t="s">
        <v>158</v>
      </c>
      <c r="D28" s="35" t="s">
        <v>57</v>
      </c>
      <c r="E28" s="36"/>
      <c r="F28" s="1">
        <f>IFERROR(IF((F29/(F19+F22)+F30/(F20+F23)+F31/(F21+F24))/3&lt;=100,0,IF((F29/(F19+F22)+F30/(F20+F23)+F31/(F21+F24))/3&gt;=1000,1,((F29/(F19+F22)+F30/(F20+F23)+F31/(F21+F24))/3-100)/900))*G28," ")</f>
        <v>3.7447794408394239</v>
      </c>
      <c r="G28" s="1">
        <f>IF(OR(Главная!AI15=E3,Главная!AI16=E3,Главная!AI18=E3),10,IF(Главная!AI19=E3,12,IF(OR(Главная!AI13=E3,Главная!AI14=E3),8,0)))</f>
        <v>12</v>
      </c>
      <c r="H28" s="7">
        <f t="shared" si="0"/>
        <v>0.31206495340328533</v>
      </c>
    </row>
    <row r="29" spans="1:8" x14ac:dyDescent="0.25">
      <c r="A29" s="81"/>
      <c r="B29" s="94"/>
      <c r="C29" s="9"/>
      <c r="D29" s="37" t="s">
        <v>161</v>
      </c>
      <c r="E29" s="8">
        <v>2017</v>
      </c>
      <c r="F29" s="38">
        <v>265431.7</v>
      </c>
      <c r="H29" s="7"/>
    </row>
    <row r="30" spans="1:8" x14ac:dyDescent="0.25">
      <c r="A30" s="81"/>
      <c r="B30" s="94"/>
      <c r="C30" s="9"/>
      <c r="D30" s="37" t="s">
        <v>161</v>
      </c>
      <c r="E30" s="8">
        <v>2018</v>
      </c>
      <c r="F30" s="38">
        <v>382808.6</v>
      </c>
      <c r="H30" s="7"/>
    </row>
    <row r="31" spans="1:8" x14ac:dyDescent="0.25">
      <c r="A31" s="81"/>
      <c r="B31" s="94"/>
      <c r="C31" s="9"/>
      <c r="D31" s="37" t="s">
        <v>161</v>
      </c>
      <c r="E31" s="8">
        <v>2019</v>
      </c>
      <c r="F31" s="38">
        <v>619984.4</v>
      </c>
      <c r="H31" s="7"/>
    </row>
    <row r="32" spans="1:8" x14ac:dyDescent="0.25">
      <c r="A32" s="95" t="s">
        <v>166</v>
      </c>
      <c r="B32" s="94"/>
      <c r="C32" s="11" t="s">
        <v>163</v>
      </c>
      <c r="D32" s="35" t="s">
        <v>162</v>
      </c>
      <c r="E32" s="5"/>
      <c r="F32" s="1">
        <f>IFERROR(IF(((F29-F33)/(F19+F22)+(F30-F34)/(F20+F23)+(F31-F35)/(F21+F24))/3&lt;=50,0,IF(((F29-F33)/(F19+F22)+(F30-F34)/(F20+F23)+(F31-F35)/(F21+F24))/3&gt;=500,1,(((F29-F33)/(F19+F22)+(F30-F34)/(F20+F23)+(F31-F35)/(F21+F24))/3-50)/450))*G32," ")</f>
        <v>0.2652118205126634</v>
      </c>
      <c r="G32" s="1">
        <f>IF(OR(Главная!AI15=E3,Главная!AI16=E3,Главная!AI18=E3),10,IF(Главная!AI19=E3,4,IF(OR(Главная!AI13=E3,Главная!AI14=E3),8,0)))</f>
        <v>4</v>
      </c>
      <c r="H32" s="7">
        <f t="shared" si="0"/>
        <v>6.630295512816585E-2</v>
      </c>
    </row>
    <row r="33" spans="1:8" x14ac:dyDescent="0.25">
      <c r="A33" s="95"/>
      <c r="B33" s="94"/>
      <c r="C33" s="9"/>
      <c r="D33" s="37" t="s">
        <v>160</v>
      </c>
      <c r="E33" s="8">
        <v>2017</v>
      </c>
      <c r="F33" s="38">
        <v>183704.3</v>
      </c>
      <c r="H33" s="7"/>
    </row>
    <row r="34" spans="1:8" x14ac:dyDescent="0.25">
      <c r="A34" s="95"/>
      <c r="B34" s="94"/>
      <c r="C34" s="9"/>
      <c r="D34" s="37" t="s">
        <v>160</v>
      </c>
      <c r="E34" s="8">
        <v>2018</v>
      </c>
      <c r="F34" s="22">
        <f>287544.4+37690</f>
        <v>325234.40000000002</v>
      </c>
      <c r="H34" s="7"/>
    </row>
    <row r="35" spans="1:8" x14ac:dyDescent="0.25">
      <c r="A35" s="95"/>
      <c r="B35" s="94"/>
      <c r="C35" s="9"/>
      <c r="D35" s="37" t="s">
        <v>160</v>
      </c>
      <c r="E35" s="8">
        <v>2019</v>
      </c>
      <c r="F35" s="22">
        <v>493354.8</v>
      </c>
      <c r="H35" s="7"/>
    </row>
    <row r="36" spans="1:8" x14ac:dyDescent="0.25">
      <c r="A36" s="81" t="s">
        <v>170</v>
      </c>
      <c r="B36" s="94"/>
      <c r="C36" s="11" t="s">
        <v>167</v>
      </c>
      <c r="D36" s="35" t="s">
        <v>164</v>
      </c>
      <c r="E36" s="5"/>
      <c r="F36" s="1">
        <f>IF((IF(F37&gt;=10,F40/F37,0)+IF(F38&gt;=10,F41/F38,0)+IF(F39&gt;=10,F42/F39,0))/3*100&lt;=1,0,IF((IF(F37&gt;=10,F40/F37,0)+IF(F38&gt;=10,F41/F38,0)+IF(F39&gt;=10,F42/F39,0))/3*100&gt;=15,1,((IF(F37&gt;=10,F40/F37,0)+IF(F38&gt;=10,F41/F38,0)+IF(F39&gt;=10,F42/F39,0))/3*100-1)/14))*G36</f>
        <v>6.7693100726952276</v>
      </c>
      <c r="G36" s="1">
        <f>IF(OR(Главная!AI15=E3,Главная!AI16=E3,Главная!AI18=E3),10,IF(Главная!AI19=E3,8,IF(OR(Главная!AI13=E3,Главная!AI14=E3),8,20)))</f>
        <v>8</v>
      </c>
      <c r="H36" s="7">
        <f t="shared" si="0"/>
        <v>0.84616375908690344</v>
      </c>
    </row>
    <row r="37" spans="1:8" x14ac:dyDescent="0.25">
      <c r="A37" s="81"/>
      <c r="B37" s="94"/>
      <c r="C37" s="9"/>
      <c r="D37" s="37" t="s">
        <v>168</v>
      </c>
      <c r="E37" s="8" t="str">
        <f>"на 01.01."&amp;$E$2-4</f>
        <v>на 01.01.2018</v>
      </c>
      <c r="F37" s="22">
        <v>475</v>
      </c>
      <c r="H37" s="7"/>
    </row>
    <row r="38" spans="1:8" x14ac:dyDescent="0.25">
      <c r="A38" s="81"/>
      <c r="B38" s="94"/>
      <c r="D38" s="37" t="s">
        <v>168</v>
      </c>
      <c r="E38" s="8" t="str">
        <f>"на 01.01."&amp;$E$2-3</f>
        <v>на 01.01.2019</v>
      </c>
      <c r="F38" s="22">
        <v>473</v>
      </c>
      <c r="H38" s="7"/>
    </row>
    <row r="39" spans="1:8" x14ac:dyDescent="0.25">
      <c r="A39" s="81"/>
      <c r="B39" s="94"/>
      <c r="D39" s="37" t="s">
        <v>168</v>
      </c>
      <c r="E39" s="4" t="str">
        <f>"на 01.01."&amp;$E$2-2</f>
        <v>на 01.01.2020</v>
      </c>
      <c r="F39" s="22">
        <v>469</v>
      </c>
      <c r="H39" s="7"/>
    </row>
    <row r="40" spans="1:8" x14ac:dyDescent="0.25">
      <c r="A40" s="81"/>
      <c r="B40" s="94"/>
      <c r="D40" s="37" t="s">
        <v>169</v>
      </c>
      <c r="E40" s="8" t="str">
        <f>"на 01.01."&amp;$E$2-4</f>
        <v>на 01.01.2018</v>
      </c>
      <c r="F40" s="22">
        <v>59</v>
      </c>
      <c r="H40" s="7"/>
    </row>
    <row r="41" spans="1:8" x14ac:dyDescent="0.25">
      <c r="A41" s="81"/>
      <c r="B41" s="94"/>
      <c r="D41" s="37" t="s">
        <v>169</v>
      </c>
      <c r="E41" s="8" t="str">
        <f>"на 01.01."&amp;$E$2-3</f>
        <v>на 01.01.2019</v>
      </c>
      <c r="F41" s="22">
        <v>60</v>
      </c>
      <c r="H41" s="7"/>
    </row>
    <row r="42" spans="1:8" x14ac:dyDescent="0.25">
      <c r="A42" s="81"/>
      <c r="B42" s="94"/>
      <c r="D42" s="37" t="s">
        <v>169</v>
      </c>
      <c r="E42" s="4" t="str">
        <f>"на 01.01."&amp;$E$2-2</f>
        <v>на 01.01.2020</v>
      </c>
      <c r="F42" s="22">
        <v>63</v>
      </c>
      <c r="H42" s="7"/>
    </row>
    <row r="43" spans="1:8" x14ac:dyDescent="0.25">
      <c r="A43" s="95" t="s">
        <v>173</v>
      </c>
      <c r="B43" s="94"/>
      <c r="C43" s="1" t="s">
        <v>172</v>
      </c>
      <c r="D43" s="35" t="s">
        <v>171</v>
      </c>
      <c r="E43" s="5"/>
      <c r="F43" s="1">
        <f>IF((F44/(F19+F22)+F45/(F20+F23)+F46/(F21+F24))/3&gt;=5000,1,IF((F44/(F19+F22)+F45/(F20+F23)+F46/(F21+F24))/3&lt;=1000,0,((F44/(F19+F22)+F45/(F20+F23)+F46/(F21+F24))/3-1000)/4000))*G43</f>
        <v>8</v>
      </c>
      <c r="G43" s="1">
        <f>IF(OR(Главная!AI15=E3,Главная!AI16=E3,Главная!AI18=E3),10,IF(Главная!AI19=E3,8,IF(OR(Главная!AI13=E3,Главная!AI14=E3),8,20)))</f>
        <v>8</v>
      </c>
      <c r="H43" s="7">
        <f t="shared" si="0"/>
        <v>1</v>
      </c>
    </row>
    <row r="44" spans="1:8" x14ac:dyDescent="0.25">
      <c r="A44" s="95"/>
      <c r="B44" s="94"/>
      <c r="D44" s="12" t="s">
        <v>83</v>
      </c>
      <c r="E44" s="8">
        <f>$E$2-5</f>
        <v>2017</v>
      </c>
      <c r="F44" s="22">
        <v>5678492.5</v>
      </c>
      <c r="H44" s="7"/>
    </row>
    <row r="45" spans="1:8" x14ac:dyDescent="0.25">
      <c r="A45" s="95"/>
      <c r="B45" s="94"/>
      <c r="D45" s="12" t="s">
        <v>83</v>
      </c>
      <c r="E45" s="8">
        <f>$E$2-4</f>
        <v>2018</v>
      </c>
      <c r="F45" s="22">
        <v>6341442.5</v>
      </c>
      <c r="H45" s="7"/>
    </row>
    <row r="46" spans="1:8" x14ac:dyDescent="0.25">
      <c r="A46" s="95"/>
      <c r="B46" s="94"/>
      <c r="D46" s="12" t="s">
        <v>83</v>
      </c>
      <c r="E46" s="8">
        <f>$E$2-3</f>
        <v>2019</v>
      </c>
      <c r="F46" s="22">
        <v>7459397.7000000002</v>
      </c>
      <c r="H46" s="7"/>
    </row>
    <row r="47" spans="1:8" x14ac:dyDescent="0.25">
      <c r="B47" s="42"/>
      <c r="C47" s="1" t="s">
        <v>71</v>
      </c>
      <c r="D47" s="13" t="s">
        <v>70</v>
      </c>
      <c r="E47" s="5"/>
      <c r="F47" s="1">
        <f>SUM(F7,F10,F13,F15,F18,F28,F32,F36,F43,F50:F54)</f>
        <v>46.325473134605978</v>
      </c>
      <c r="G47" s="1">
        <v>100</v>
      </c>
      <c r="H47" s="7">
        <f t="shared" si="0"/>
        <v>0.46325473134605977</v>
      </c>
    </row>
    <row r="48" spans="1:8" x14ac:dyDescent="0.25">
      <c r="B48" s="42"/>
    </row>
    <row r="49" spans="2:8" x14ac:dyDescent="0.25">
      <c r="B49" s="42"/>
      <c r="C49" s="11" t="s">
        <v>96</v>
      </c>
      <c r="D49" s="86" t="s">
        <v>97</v>
      </c>
      <c r="E49" s="86"/>
      <c r="F49" s="86"/>
      <c r="G49" s="11"/>
      <c r="H49" s="7"/>
    </row>
    <row r="50" spans="2:8" x14ac:dyDescent="0.25">
      <c r="B50" s="42"/>
      <c r="C50" s="9"/>
      <c r="D50" s="26"/>
      <c r="E50" s="27"/>
      <c r="F50" s="24"/>
      <c r="G50" s="23"/>
      <c r="H50" s="7" t="e">
        <f t="shared" ref="H50:H54" si="1">F50/G50</f>
        <v>#DIV/0!</v>
      </c>
    </row>
    <row r="51" spans="2:8" x14ac:dyDescent="0.25">
      <c r="B51" s="42"/>
      <c r="C51" s="9"/>
      <c r="D51" s="28"/>
      <c r="E51" s="27"/>
      <c r="F51" s="25"/>
      <c r="G51" s="23"/>
      <c r="H51" s="7" t="e">
        <f t="shared" si="1"/>
        <v>#DIV/0!</v>
      </c>
    </row>
    <row r="52" spans="2:8" x14ac:dyDescent="0.25">
      <c r="C52" s="9"/>
      <c r="D52" s="28"/>
      <c r="E52" s="27"/>
      <c r="F52" s="25"/>
      <c r="G52" s="23"/>
      <c r="H52" s="7" t="e">
        <f t="shared" si="1"/>
        <v>#DIV/0!</v>
      </c>
    </row>
    <row r="53" spans="2:8" x14ac:dyDescent="0.25">
      <c r="C53" s="9"/>
      <c r="D53" s="28"/>
      <c r="E53" s="27"/>
      <c r="F53" s="25"/>
      <c r="G53" s="23"/>
      <c r="H53" s="7" t="e">
        <f t="shared" si="1"/>
        <v>#DIV/0!</v>
      </c>
    </row>
    <row r="54" spans="2:8" x14ac:dyDescent="0.25">
      <c r="C54" s="9"/>
      <c r="D54" s="28"/>
      <c r="E54" s="27"/>
      <c r="F54" s="25"/>
      <c r="G54" s="23"/>
      <c r="H54" s="7" t="e">
        <f t="shared" si="1"/>
        <v>#DIV/0!</v>
      </c>
    </row>
  </sheetData>
  <mergeCells count="11">
    <mergeCell ref="A43:A46"/>
    <mergeCell ref="B18:B46"/>
    <mergeCell ref="D49:F49"/>
    <mergeCell ref="A7:A9"/>
    <mergeCell ref="A10:A12"/>
    <mergeCell ref="A13:A14"/>
    <mergeCell ref="A15:A17"/>
    <mergeCell ref="A18:A27"/>
    <mergeCell ref="A28:A31"/>
    <mergeCell ref="A32:A35"/>
    <mergeCell ref="A36:A42"/>
  </mergeCells>
  <conditionalFormatting sqref="H1:H47">
    <cfRule type="iconSet" priority="2">
      <iconSet>
        <cfvo type="percent" val="0"/>
        <cfvo type="percent" val="33"/>
        <cfvo type="percent" val="67"/>
      </iconSet>
    </cfRule>
  </conditionalFormatting>
  <conditionalFormatting sqref="H49:H54">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Главная!$AI$13:$AI$19</xm:f>
          </x14:formula1>
          <xm:sqref>E3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tabColor rgb="FF92D050"/>
  </sheetPr>
  <dimension ref="A2:H97"/>
  <sheetViews>
    <sheetView topLeftCell="A16" workbookViewId="0">
      <selection activeCell="D89" sqref="D89"/>
    </sheetView>
  </sheetViews>
  <sheetFormatPr defaultRowHeight="15" x14ac:dyDescent="0.25"/>
  <cols>
    <col min="1" max="1" width="55" customWidth="1"/>
    <col min="2" max="2" width="12.5703125" customWidth="1"/>
    <col min="3" max="3" width="83.140625" style="12" customWidth="1"/>
    <col min="4" max="4" width="49.140625" style="4" customWidth="1"/>
    <col min="5" max="5" width="11.42578125" customWidth="1"/>
    <col min="6" max="6" width="20" customWidth="1"/>
    <col min="7" max="7" width="16" customWidth="1"/>
    <col min="8" max="8" width="37.42578125" customWidth="1"/>
  </cols>
  <sheetData>
    <row r="2" spans="1:7" x14ac:dyDescent="0.25">
      <c r="A2" s="1" t="s">
        <v>80</v>
      </c>
      <c r="C2" s="12" t="s">
        <v>24</v>
      </c>
      <c r="D2" s="43">
        <v>2022</v>
      </c>
    </row>
    <row r="3" spans="1:7" x14ac:dyDescent="0.25">
      <c r="A3" t="s">
        <v>81</v>
      </c>
      <c r="C3" s="12" t="s">
        <v>191</v>
      </c>
      <c r="D3" s="58" t="s">
        <v>182</v>
      </c>
      <c r="E3" s="57" t="s">
        <v>220</v>
      </c>
    </row>
    <row r="4" spans="1:7" x14ac:dyDescent="0.25">
      <c r="C4" s="12" t="s">
        <v>75</v>
      </c>
      <c r="D4" s="10">
        <f>E83</f>
        <v>62.457262720696875</v>
      </c>
    </row>
    <row r="6" spans="1:7" x14ac:dyDescent="0.25">
      <c r="A6" t="s">
        <v>7</v>
      </c>
      <c r="C6" s="12" t="s">
        <v>25</v>
      </c>
      <c r="D6" s="4" t="s">
        <v>21</v>
      </c>
      <c r="F6" t="s">
        <v>20</v>
      </c>
      <c r="G6" t="s">
        <v>42</v>
      </c>
    </row>
    <row r="7" spans="1:7" x14ac:dyDescent="0.25">
      <c r="A7" s="79" t="s">
        <v>9</v>
      </c>
      <c r="B7" s="49" t="s">
        <v>0</v>
      </c>
      <c r="C7" s="13" t="s">
        <v>1</v>
      </c>
      <c r="D7" s="5"/>
      <c r="E7" s="1">
        <f>IF(E8&gt;=100,1,IF(E8&lt;=40,0,(E8-40)/60))*F7</f>
        <v>12.397</v>
      </c>
      <c r="F7" s="2">
        <v>23</v>
      </c>
      <c r="G7" s="7">
        <f>E7/F7</f>
        <v>0.53900000000000003</v>
      </c>
    </row>
    <row r="8" spans="1:7" x14ac:dyDescent="0.25">
      <c r="A8" s="79"/>
      <c r="B8" s="50"/>
      <c r="C8" s="12" t="s">
        <v>4</v>
      </c>
      <c r="D8" s="4">
        <f>$D$2-2</f>
        <v>2020</v>
      </c>
      <c r="E8" s="22">
        <v>72.34</v>
      </c>
      <c r="G8" s="7"/>
    </row>
    <row r="9" spans="1:7" x14ac:dyDescent="0.25">
      <c r="A9" s="81" t="s">
        <v>10</v>
      </c>
      <c r="B9" s="47" t="s">
        <v>3</v>
      </c>
      <c r="C9" s="13" t="s">
        <v>2</v>
      </c>
      <c r="D9" s="5"/>
      <c r="E9" s="1">
        <f>IF(E10/E11*100&gt;=100,1,IF(E10/E11*100&lt;=80,0,((E10/E11*100)-80)/20))*F9</f>
        <v>3</v>
      </c>
      <c r="F9" s="46">
        <v>3</v>
      </c>
      <c r="G9" s="7">
        <f t="shared" ref="G9:G38" si="0">E9/F9</f>
        <v>1</v>
      </c>
    </row>
    <row r="10" spans="1:7" x14ac:dyDescent="0.25">
      <c r="A10" s="81"/>
      <c r="B10" s="48"/>
      <c r="C10" s="12" t="s">
        <v>23</v>
      </c>
      <c r="D10" s="4" t="str">
        <f>$D$2-2&amp;" "&amp;$D$2-3&amp;" "&amp;$D$2-4</f>
        <v>2020 2019 2018</v>
      </c>
      <c r="E10" s="22">
        <v>145</v>
      </c>
      <c r="G10" s="7"/>
    </row>
    <row r="11" spans="1:7" x14ac:dyDescent="0.25">
      <c r="A11" s="81"/>
      <c r="B11" s="48"/>
      <c r="C11" s="12" t="s">
        <v>22</v>
      </c>
      <c r="D11" s="4" t="str">
        <f>$D$2-2&amp;" "&amp;$D$2-3&amp;" "&amp;$D$2-4</f>
        <v>2020 2019 2018</v>
      </c>
      <c r="E11" s="22">
        <v>145</v>
      </c>
      <c r="G11" s="7"/>
    </row>
    <row r="12" spans="1:7" x14ac:dyDescent="0.25">
      <c r="A12" s="79" t="s">
        <v>8</v>
      </c>
      <c r="B12" s="49" t="s">
        <v>6</v>
      </c>
      <c r="C12" s="13" t="s">
        <v>5</v>
      </c>
      <c r="D12" s="5"/>
      <c r="E12" s="1">
        <f>IF(E14/E13&gt;=0.5,1,IF(E14/E13&lt;=0,0,(E14/E13/0.5)))*F12</f>
        <v>0.33333333333333331</v>
      </c>
      <c r="F12" s="46">
        <v>4</v>
      </c>
      <c r="G12" s="7">
        <f t="shared" si="0"/>
        <v>8.3333333333333329E-2</v>
      </c>
    </row>
    <row r="13" spans="1:7" x14ac:dyDescent="0.25">
      <c r="A13" s="79"/>
      <c r="B13" s="50"/>
      <c r="C13" s="12" t="s">
        <v>11</v>
      </c>
      <c r="D13" s="4">
        <f>$D$2-2</f>
        <v>2020</v>
      </c>
      <c r="E13" s="22">
        <v>120</v>
      </c>
      <c r="G13" s="7"/>
    </row>
    <row r="14" spans="1:7" x14ac:dyDescent="0.25">
      <c r="A14" s="79"/>
      <c r="B14" s="50"/>
      <c r="C14" s="12" t="s">
        <v>12</v>
      </c>
      <c r="D14" s="4">
        <f>$D$2-2</f>
        <v>2020</v>
      </c>
      <c r="E14" s="22">
        <v>5</v>
      </c>
      <c r="G14" s="7"/>
    </row>
    <row r="15" spans="1:7" x14ac:dyDescent="0.25">
      <c r="A15" s="81" t="s">
        <v>17</v>
      </c>
      <c r="B15" s="47" t="s">
        <v>13</v>
      </c>
      <c r="C15" s="13" t="s">
        <v>14</v>
      </c>
      <c r="D15" s="5"/>
      <c r="E15" s="1">
        <f>IF(E16/E17&gt;=1,1,IF(E16/E17&lt;=0,0,(E16/E17)))*F15</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1</v>
      </c>
      <c r="G17" s="7"/>
    </row>
    <row r="18" spans="1:7" x14ac:dyDescent="0.25">
      <c r="A18" s="79" t="s">
        <v>217</v>
      </c>
      <c r="B18" s="49" t="s">
        <v>19</v>
      </c>
      <c r="C18" s="13" t="s">
        <v>18</v>
      </c>
      <c r="D18" s="5"/>
      <c r="E18" s="1">
        <f>IF(IF(E19+E22*0.25+E25*0.1&lt;=0,0,(((E20+0.25*E23+0.1*E26)+3*(E21+0.25*E24+0.1*E27))/(E19+E22*0.25+E25*0.1)))&gt;=0.25,1,IF(IF(E19+E22*0.25+E25*0.1&lt;=0,1,(((E20+0.25*E23+0.1*E26)+3*(E21+0.25*E24+0.1*E27))/(E19+E22*0.25+E25*0.1)))&lt;=0,0,IF(E19+E22*0.25+E25*0.1&lt;=0,1,(((E20+0.25*E23+0.1*E26)+3*(E21+0.25*E24+0.1*E27))/(E19+E22*0.25+E25*0.1))/0.25)))*F18</f>
        <v>4.3902439024390247</v>
      </c>
      <c r="F18" s="11">
        <f>IF(OR(D3=Главная!AA14,D3=Главная!AA15,D3=Главная!AA17,D3=Главная!AA18,D3=Главная!AA21),6,9)</f>
        <v>6</v>
      </c>
      <c r="G18" s="7">
        <f t="shared" si="0"/>
        <v>0.73170731707317083</v>
      </c>
    </row>
    <row r="19" spans="1:7" x14ac:dyDescent="0.25">
      <c r="A19" s="79"/>
      <c r="B19" s="50"/>
      <c r="C19" s="12" t="s">
        <v>26</v>
      </c>
      <c r="D19" s="4">
        <f t="shared" ref="D19:D41" si="1">$D$2-2</f>
        <v>2020</v>
      </c>
      <c r="E19" s="22">
        <v>328</v>
      </c>
      <c r="G19" s="7"/>
    </row>
    <row r="20" spans="1:7" x14ac:dyDescent="0.25">
      <c r="A20" s="79"/>
      <c r="B20" s="50"/>
      <c r="C20" s="12" t="s">
        <v>27</v>
      </c>
      <c r="D20" s="4">
        <f t="shared" si="1"/>
        <v>2020</v>
      </c>
      <c r="E20" s="22">
        <v>27</v>
      </c>
      <c r="G20" s="7"/>
    </row>
    <row r="21" spans="1:7" x14ac:dyDescent="0.25">
      <c r="A21" s="79"/>
      <c r="B21" s="50"/>
      <c r="C21" s="12" t="s">
        <v>28</v>
      </c>
      <c r="D21" s="4">
        <f t="shared" si="1"/>
        <v>2020</v>
      </c>
      <c r="E21" s="22">
        <v>11</v>
      </c>
      <c r="G21" s="7"/>
    </row>
    <row r="22" spans="1:7" x14ac:dyDescent="0.25">
      <c r="A22" s="79"/>
      <c r="B22" s="50"/>
      <c r="C22" s="12" t="s">
        <v>29</v>
      </c>
      <c r="D22" s="4">
        <f t="shared" si="1"/>
        <v>2020</v>
      </c>
      <c r="E22" s="22">
        <v>0</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0</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0</v>
      </c>
      <c r="G27" s="7"/>
    </row>
    <row r="28" spans="1:7" x14ac:dyDescent="0.25">
      <c r="A28" s="77" t="s">
        <v>143</v>
      </c>
      <c r="B28" s="47" t="s">
        <v>85</v>
      </c>
      <c r="C28" s="13" t="s">
        <v>84</v>
      </c>
      <c r="E28" s="11">
        <f>IFERROR(IF(IF(AND(E35+0.25*E36+0.1*E37=0,0.25*(E29+0.25*E30+0.1*E31)+(E32+0.25*E33+0.1*E34)&gt;0),1,(0.25*(E29+0.25*E30+0.1*E31)+(E32+0.25*E33+0.1*E34))/(E35+0.25*E36+0.1*E37))&gt;=0.2,1,IF(IF(E35+0.25*E36+0.1*E37=0,1,(0.25*(E29+0.25*E30+0.1*E31)+(E32+0.25*E33+0.1*E34))/(E35+0.25*E36+0.1*E37))&lt;=0,0,IF(E35+0.25*E36+0.1*E37=0,1,(0.25*(E29+0.25*E30+0.1*E31)+(E32+0.25*E33+0.1*E34))/(E35+0.25*E36+0.1*E37)/0.2)))*F28," ")</f>
        <v>1.357394366197183</v>
      </c>
      <c r="F28" s="1">
        <f>IF(OR(D3=Главная!AA14,D3=Главная!AA15,D3=Главная!AA17,D3=Главная!AA18,D3=Главная!AA21),6,0)</f>
        <v>6</v>
      </c>
      <c r="G28" s="7">
        <f t="shared" si="0"/>
        <v>0.22623239436619716</v>
      </c>
    </row>
    <row r="29" spans="1:7" x14ac:dyDescent="0.25">
      <c r="A29" s="77"/>
      <c r="B29" s="48"/>
      <c r="C29" s="12" t="s">
        <v>86</v>
      </c>
      <c r="D29" s="14">
        <f>$D$2-3</f>
        <v>2019</v>
      </c>
      <c r="E29" s="22">
        <v>24</v>
      </c>
      <c r="G29" s="7"/>
    </row>
    <row r="30" spans="1:7" x14ac:dyDescent="0.25">
      <c r="A30" s="77"/>
      <c r="B30" s="48"/>
      <c r="C30" s="12" t="s">
        <v>87</v>
      </c>
      <c r="D30" s="14">
        <f t="shared" ref="D30:D34" si="2">$D$2-3</f>
        <v>2019</v>
      </c>
      <c r="E30" s="22">
        <v>161</v>
      </c>
      <c r="G30" s="7"/>
    </row>
    <row r="31" spans="1:7" x14ac:dyDescent="0.25">
      <c r="A31" s="77"/>
      <c r="B31" s="48"/>
      <c r="C31" s="12" t="s">
        <v>88</v>
      </c>
      <c r="D31" s="14">
        <f t="shared" si="2"/>
        <v>2019</v>
      </c>
      <c r="E31" s="22">
        <v>0</v>
      </c>
      <c r="G31" s="7"/>
    </row>
    <row r="32" spans="1:7" ht="39.75" customHeight="1" x14ac:dyDescent="0.25">
      <c r="A32" s="77"/>
      <c r="B32" s="48"/>
      <c r="C32" s="12" t="s">
        <v>89</v>
      </c>
      <c r="D32" s="14">
        <f t="shared" si="2"/>
        <v>2019</v>
      </c>
      <c r="E32" s="22">
        <v>0</v>
      </c>
      <c r="G32" s="7"/>
    </row>
    <row r="33" spans="1:7" x14ac:dyDescent="0.25">
      <c r="A33" s="77" t="s">
        <v>142</v>
      </c>
      <c r="B33" s="48"/>
      <c r="C33" s="12" t="s">
        <v>90</v>
      </c>
      <c r="D33" s="14">
        <f t="shared" si="2"/>
        <v>2019</v>
      </c>
      <c r="E33" s="22">
        <v>0</v>
      </c>
      <c r="G33" s="7"/>
    </row>
    <row r="34" spans="1:7" x14ac:dyDescent="0.25">
      <c r="A34" s="77"/>
      <c r="B34" s="48"/>
      <c r="C34" s="12" t="s">
        <v>91</v>
      </c>
      <c r="D34" s="14">
        <f t="shared" si="2"/>
        <v>2019</v>
      </c>
      <c r="E34" s="22">
        <v>0</v>
      </c>
      <c r="G34" s="7"/>
    </row>
    <row r="35" spans="1:7" x14ac:dyDescent="0.25">
      <c r="A35" s="77"/>
      <c r="B35" s="48"/>
      <c r="C35" s="12" t="s">
        <v>92</v>
      </c>
      <c r="D35" s="4">
        <f t="shared" ref="D35:D37" si="3">$D$2-2</f>
        <v>2020</v>
      </c>
      <c r="E35" s="22">
        <f>E19+E20</f>
        <v>355</v>
      </c>
      <c r="G35" s="7"/>
    </row>
    <row r="36" spans="1:7" x14ac:dyDescent="0.25">
      <c r="A36" s="77"/>
      <c r="B36" s="48"/>
      <c r="C36" s="12" t="s">
        <v>93</v>
      </c>
      <c r="D36" s="4">
        <f t="shared" si="3"/>
        <v>2020</v>
      </c>
      <c r="E36" s="22">
        <f>E22+E23</f>
        <v>0</v>
      </c>
      <c r="G36" s="7"/>
    </row>
    <row r="37" spans="1:7" x14ac:dyDescent="0.25">
      <c r="A37" s="77"/>
      <c r="B37" s="48"/>
      <c r="C37" s="12" t="s">
        <v>94</v>
      </c>
      <c r="D37" s="4">
        <f t="shared" si="3"/>
        <v>2020</v>
      </c>
      <c r="E37" s="22">
        <f>E25+E26</f>
        <v>0</v>
      </c>
      <c r="G37" s="7"/>
    </row>
    <row r="38" spans="1:7" x14ac:dyDescent="0.25">
      <c r="A38" s="78" t="s">
        <v>41</v>
      </c>
      <c r="B38" s="49" t="s">
        <v>36</v>
      </c>
      <c r="C38" s="13" t="s">
        <v>37</v>
      </c>
      <c r="D38" s="5"/>
      <c r="E38" s="1">
        <f>IF(((E39+E40*0.25+E41*0.1)/(E19+E22*0.25+E25*0.1))&gt;=0.5,1,IF((E39+E40*0.25+E41*0.1)/(E19+E22*0.25+E25*0.1)&lt;=0,0,((E39+E40*0.25+E41*0.1)/(E19+E22*0.25+E25*0.1)/0.5)))*F38</f>
        <v>0.51219512195121952</v>
      </c>
      <c r="F38" s="11">
        <f>IF(OR(D3=Главная!AA14,D3=Главная!AA15,D3=Главная!AA17,D3=Главная!AA18,D3=Главная!AA21),6,9)</f>
        <v>6</v>
      </c>
      <c r="G38" s="7">
        <f t="shared" si="0"/>
        <v>8.5365853658536592E-2</v>
      </c>
    </row>
    <row r="39" spans="1:7" x14ac:dyDescent="0.25">
      <c r="A39" s="78"/>
      <c r="B39" s="50"/>
      <c r="C39" s="12" t="s">
        <v>38</v>
      </c>
      <c r="D39" s="4">
        <f t="shared" si="1"/>
        <v>2020</v>
      </c>
      <c r="E39" s="22">
        <v>14</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0</v>
      </c>
      <c r="G41" s="7"/>
    </row>
    <row r="42" spans="1:7" ht="15" customHeight="1" x14ac:dyDescent="0.25">
      <c r="A42" s="77" t="s">
        <v>145</v>
      </c>
      <c r="B42" s="76" t="s">
        <v>44</v>
      </c>
      <c r="C42" s="13" t="s">
        <v>43</v>
      </c>
      <c r="D42" s="5"/>
      <c r="E42" s="1" t="str">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f>
        <v/>
      </c>
      <c r="F42" s="2">
        <v>25</v>
      </c>
      <c r="G42" s="7" t="e">
        <f>E42/F42</f>
        <v>#VALUE!</v>
      </c>
    </row>
    <row r="43" spans="1:7" x14ac:dyDescent="0.25">
      <c r="A43" s="77"/>
      <c r="B43" s="76" t="s">
        <v>218</v>
      </c>
      <c r="C43" s="12" t="s">
        <v>46</v>
      </c>
      <c r="D43" s="4" t="str">
        <f>$D$2-4&amp;" "&amp;$D$2-5&amp;" "&amp;$D$2-6</f>
        <v>2018 2017 2016</v>
      </c>
      <c r="E43" s="22"/>
    </row>
    <row r="44" spans="1:7" x14ac:dyDescent="0.25">
      <c r="A44" s="77"/>
      <c r="B44" s="76"/>
      <c r="C44" s="12" t="s">
        <v>45</v>
      </c>
      <c r="D44" s="4" t="str">
        <f>$D$2-3&amp;" "&amp;$D$2-4&amp;" "&amp;$D$2-5</f>
        <v>2019 2018 2017</v>
      </c>
      <c r="E44" s="22"/>
    </row>
    <row r="45" spans="1:7" x14ac:dyDescent="0.25">
      <c r="A45" s="79" t="s">
        <v>219</v>
      </c>
      <c r="B45" s="49" t="s">
        <v>48</v>
      </c>
      <c r="C45" s="13" t="s">
        <v>47</v>
      </c>
      <c r="D45" s="5"/>
      <c r="E45" s="1">
        <f>IF(E47/E46*100&lt;=30,0,IF(E47/E46*100&gt;=60,1,(E47/E46*100-30)/30))*F45</f>
        <v>3.5858585858585861</v>
      </c>
      <c r="F45" s="46">
        <v>5</v>
      </c>
      <c r="G45" s="7">
        <f t="shared" ref="G45" si="4">E45/F45</f>
        <v>0.71717171717171724</v>
      </c>
    </row>
    <row r="46" spans="1:7" x14ac:dyDescent="0.25">
      <c r="A46" s="79"/>
      <c r="B46" s="50"/>
      <c r="C46" s="12" t="s">
        <v>49</v>
      </c>
      <c r="D46" s="8">
        <f>$D$2-5</f>
        <v>2017</v>
      </c>
      <c r="E46" s="22">
        <v>66</v>
      </c>
    </row>
    <row r="47" spans="1:7" x14ac:dyDescent="0.25">
      <c r="A47" s="80"/>
      <c r="B47" s="50"/>
      <c r="C47" s="12" t="s">
        <v>50</v>
      </c>
      <c r="D47" s="4">
        <f t="shared" ref="D47" si="5">$D$2-2</f>
        <v>2020</v>
      </c>
      <c r="E47" s="29">
        <v>34</v>
      </c>
    </row>
    <row r="48" spans="1:7" s="56" customFormat="1" ht="15" customHeight="1" x14ac:dyDescent="0.25">
      <c r="A48" s="71" t="s">
        <v>224</v>
      </c>
      <c r="B48" s="72"/>
      <c r="C48" s="72"/>
      <c r="D48" s="72"/>
      <c r="E48" s="72"/>
      <c r="F48" s="72"/>
      <c r="G48" s="73"/>
    </row>
    <row r="49" spans="1:8" ht="15" customHeight="1" x14ac:dyDescent="0.25">
      <c r="A49" s="74" t="s">
        <v>59</v>
      </c>
      <c r="B49" s="59" t="s">
        <v>52</v>
      </c>
      <c r="C49" s="30" t="s">
        <v>53</v>
      </c>
      <c r="D49" s="31"/>
      <c r="E49" s="32">
        <f>IFERROR(IF((E56/(E50+E53)+E57/(E51+E54)+E58/(E52+E55))/3*100&lt;=5,0,IF((E56/(E50+E53)+E57/(E51+E54)+E58/(E52+E55))/3*100&gt;=100,1,((E56/(E50+E53)+E57/(E51+E54)+E58/(E52+E55))/3*100-5)/95))*F49,"")</f>
        <v>3.4663573753491654</v>
      </c>
      <c r="F49" s="32">
        <f>IF(OR(Главная!AA13=D3,Главная!AA14=D3,Главная!AA15=D3,Главная!AA16=D3,Главная!AA23=D3),5,0)</f>
        <v>5</v>
      </c>
      <c r="G49" s="33">
        <f t="shared" ref="G49" si="6">E49/F49</f>
        <v>0.69327147506983311</v>
      </c>
      <c r="H49" s="34"/>
    </row>
    <row r="50" spans="1:8" x14ac:dyDescent="0.25">
      <c r="A50" s="75"/>
      <c r="B50" s="55"/>
      <c r="C50" s="12" t="s">
        <v>54</v>
      </c>
      <c r="D50" s="8">
        <f>$D$2-5</f>
        <v>2017</v>
      </c>
      <c r="E50" s="22">
        <v>1051.2</v>
      </c>
    </row>
    <row r="51" spans="1:8" x14ac:dyDescent="0.25">
      <c r="A51" s="75"/>
      <c r="B51" s="55"/>
      <c r="C51" s="12" t="s">
        <v>54</v>
      </c>
      <c r="D51" s="8">
        <f>$D$2-4</f>
        <v>2018</v>
      </c>
      <c r="E51" s="22">
        <v>1047.5</v>
      </c>
    </row>
    <row r="52" spans="1:8" x14ac:dyDescent="0.25">
      <c r="A52" s="75"/>
      <c r="B52" s="55"/>
      <c r="C52" s="12" t="s">
        <v>54</v>
      </c>
      <c r="D52" s="8">
        <f>$D$2-3</f>
        <v>2019</v>
      </c>
      <c r="E52" s="22">
        <v>1059.5</v>
      </c>
    </row>
    <row r="53" spans="1:8" x14ac:dyDescent="0.25">
      <c r="A53" s="75"/>
      <c r="B53" s="55"/>
      <c r="C53" s="12" t="s">
        <v>55</v>
      </c>
      <c r="D53" s="8">
        <f>$D$2-5</f>
        <v>2017</v>
      </c>
      <c r="E53" s="22">
        <v>56.2</v>
      </c>
    </row>
    <row r="54" spans="1:8" x14ac:dyDescent="0.25">
      <c r="A54" s="75"/>
      <c r="B54" s="55"/>
      <c r="C54" s="12" t="s">
        <v>55</v>
      </c>
      <c r="D54" s="8">
        <f>$D$2-4</f>
        <v>2018</v>
      </c>
      <c r="E54" s="22">
        <v>54.6</v>
      </c>
    </row>
    <row r="55" spans="1:8" x14ac:dyDescent="0.25">
      <c r="A55" s="75"/>
      <c r="B55" s="55"/>
      <c r="C55" s="12" t="s">
        <v>55</v>
      </c>
      <c r="D55" s="8">
        <f>$D$2-3</f>
        <v>2019</v>
      </c>
      <c r="E55" s="22">
        <v>56.5</v>
      </c>
    </row>
    <row r="56" spans="1:8" x14ac:dyDescent="0.25">
      <c r="A56" s="75"/>
      <c r="B56" s="55"/>
      <c r="C56" s="12" t="s">
        <v>56</v>
      </c>
      <c r="D56" s="8">
        <f>$D$2-5</f>
        <v>2017</v>
      </c>
      <c r="E56" s="22">
        <v>380</v>
      </c>
    </row>
    <row r="57" spans="1:8" x14ac:dyDescent="0.25">
      <c r="A57" s="75"/>
      <c r="B57" s="55"/>
      <c r="C57" s="12" t="s">
        <v>56</v>
      </c>
      <c r="D57" s="8">
        <f>$D$2-4</f>
        <v>2018</v>
      </c>
      <c r="E57" s="22">
        <v>830</v>
      </c>
      <c r="F57" s="9"/>
    </row>
    <row r="58" spans="1:8" x14ac:dyDescent="0.25">
      <c r="A58" s="75"/>
      <c r="B58" s="55"/>
      <c r="C58" s="12" t="s">
        <v>56</v>
      </c>
      <c r="D58" s="8">
        <f>$D$2-3</f>
        <v>2019</v>
      </c>
      <c r="E58" s="22">
        <v>1149</v>
      </c>
      <c r="F58" s="9"/>
    </row>
    <row r="59" spans="1:8" x14ac:dyDescent="0.25">
      <c r="A59" s="82" t="s">
        <v>79</v>
      </c>
      <c r="B59" s="51" t="s">
        <v>58</v>
      </c>
      <c r="C59" s="13" t="s">
        <v>57</v>
      </c>
      <c r="D59" s="5"/>
      <c r="E59" s="1">
        <f>IFERROR(IF((E60/(E50+E53)+E61/(E51+E54)+E62/(E52+E55))/3&lt;=100,0,IF((E60/(E50+E53)+E61/(E51+E54)+E62/(E52+E55))/3&gt;=1000,1,((E60/(E50+E53)+E61/(E51+E54)+E62/(E52+E55))/3-100)/900))*F59," ")</f>
        <v>1.5603247670164266</v>
      </c>
      <c r="F59" s="11">
        <f>IF(OR(Главная!AA17=D3,Главная!AA20=D3),7,IF(OR(Главная!AA13=D3,Главная!AA14=D3,Главная!AA15=D3,Главная!AA16=D3,Главная!AA23=D3),5,0))</f>
        <v>5</v>
      </c>
      <c r="G59" s="7">
        <f t="shared" ref="G59" si="7">E59/F59</f>
        <v>0.31206495340328533</v>
      </c>
    </row>
    <row r="60" spans="1:8" x14ac:dyDescent="0.25">
      <c r="A60" s="82"/>
      <c r="B60" s="52"/>
      <c r="C60" s="12" t="s">
        <v>82</v>
      </c>
      <c r="D60" s="8">
        <f>$D$2-5</f>
        <v>2017</v>
      </c>
      <c r="E60" s="22">
        <v>265431.7</v>
      </c>
      <c r="F60" s="9"/>
    </row>
    <row r="61" spans="1:8" x14ac:dyDescent="0.25">
      <c r="A61" s="82"/>
      <c r="B61" s="52"/>
      <c r="C61" s="12" t="s">
        <v>82</v>
      </c>
      <c r="D61" s="8">
        <f>$D$2-4</f>
        <v>2018</v>
      </c>
      <c r="E61" s="22">
        <v>382808.6</v>
      </c>
      <c r="F61" s="9"/>
    </row>
    <row r="62" spans="1:8" x14ac:dyDescent="0.25">
      <c r="A62" s="82"/>
      <c r="B62" s="52"/>
      <c r="C62" s="12" t="s">
        <v>82</v>
      </c>
      <c r="D62" s="8">
        <f>$D$2-3</f>
        <v>2019</v>
      </c>
      <c r="E62" s="22">
        <v>619984.4</v>
      </c>
      <c r="F62" s="9"/>
    </row>
    <row r="63" spans="1:8" x14ac:dyDescent="0.25">
      <c r="A63" s="83" t="s">
        <v>78</v>
      </c>
      <c r="B63" s="2" t="s">
        <v>61</v>
      </c>
      <c r="C63" s="13" t="s">
        <v>60</v>
      </c>
      <c r="D63" s="5"/>
      <c r="E63" s="1">
        <f>IF((E67+0.25*E68+0.1*E69)/(E64+E65*0.25+E66*0.1)*100&gt;=15,1,IF((E67+0.25*E68+0.1*E69)/(E64+E65*0.25+E66*0.1)*100&lt;=1,0,((E67+0.25*E68+0.1*E69)/(E64+E65*0.25+E66*0.1)*100-1)/14))*F63</f>
        <v>2.0440733307183585</v>
      </c>
      <c r="F63" s="11">
        <f>IF(OR(Главная!AA17=D3,Главная!AA20=D3,Главная!AA18=D3),6,IF(OR(Главная!AA13=D3,Главная!AA14=D3,Главная!AA15=D3,Главная!AA16=D3,Главная!AA23=D3),5,10))</f>
        <v>5</v>
      </c>
      <c r="G63" s="7">
        <f t="shared" ref="G63:G93" si="8">E63/F63</f>
        <v>0.40881466614367168</v>
      </c>
    </row>
    <row r="64" spans="1:8"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4.8104819378335826</v>
      </c>
      <c r="F70" s="11">
        <f>IF(OR(Главная!AA17=D3,Главная!AA20=D3,Главная!AA18=D3),7,IF(OR(Главная!AA13=D3,Главная!AA14=D3,Главная!AA15=D3,Главная!AA16=D3,Главная!AA23=D3),5,10))</f>
        <v>5</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SUM(E7,E9,E12,E15,E18,E38,E42,E45,E49,E59,E63,E70,E28,E89:E93)*(IF(1+0.5*((E84+E85*0.25+E86*0.1)/(E19+E22*0.25+E25*0.1)-0.2)/0.8&lt;1,1,1+0.5*((E84+E85*0.25+E86*0.1)/(E19+E22*0.25+E25*0.1)-0.2)/0.8))</f>
        <v>62.457262720696875</v>
      </c>
      <c r="F83">
        <v>100</v>
      </c>
      <c r="G83" s="7">
        <f t="shared" si="8"/>
        <v>0.62457262720696871</v>
      </c>
    </row>
    <row r="84" spans="1:7" x14ac:dyDescent="0.25">
      <c r="A84" s="85"/>
      <c r="B84" s="54"/>
      <c r="C84" s="12" t="s">
        <v>72</v>
      </c>
      <c r="D84" s="4">
        <f t="shared" ref="D84:D86" si="10">$D$2-2</f>
        <v>2020</v>
      </c>
      <c r="E84" s="22">
        <v>4</v>
      </c>
      <c r="G84" s="7"/>
    </row>
    <row r="85" spans="1:7" x14ac:dyDescent="0.25">
      <c r="A85" s="85"/>
      <c r="B85" s="54"/>
      <c r="C85" s="12" t="s">
        <v>73</v>
      </c>
      <c r="D85" s="4">
        <f t="shared" si="10"/>
        <v>2020</v>
      </c>
      <c r="E85" s="22">
        <v>0</v>
      </c>
      <c r="G85" s="7"/>
    </row>
    <row r="86" spans="1:7" x14ac:dyDescent="0.25">
      <c r="A86" s="85"/>
      <c r="B86" s="54"/>
      <c r="C86" s="12" t="s">
        <v>74</v>
      </c>
      <c r="D86" s="4">
        <f t="shared" si="10"/>
        <v>2020</v>
      </c>
      <c r="E86" s="22">
        <v>0</v>
      </c>
      <c r="G86" s="7"/>
    </row>
    <row r="87" spans="1:7" x14ac:dyDescent="0.25">
      <c r="G87" s="7"/>
    </row>
    <row r="88" spans="1:7" x14ac:dyDescent="0.25">
      <c r="A88" s="9"/>
      <c r="B88" s="11" t="s">
        <v>96</v>
      </c>
      <c r="C88" s="86" t="s">
        <v>97</v>
      </c>
      <c r="D88" s="86"/>
      <c r="E88" s="86"/>
      <c r="F88" s="11"/>
      <c r="G88" s="7"/>
    </row>
    <row r="89" spans="1:7" x14ac:dyDescent="0.25">
      <c r="A89" s="9"/>
      <c r="B89" s="9"/>
      <c r="C89" s="64" t="s">
        <v>43</v>
      </c>
      <c r="D89" s="27"/>
      <c r="E89" s="24">
        <v>25</v>
      </c>
      <c r="F89" s="23">
        <v>25</v>
      </c>
      <c r="G89" s="7">
        <f t="shared" si="8"/>
        <v>1</v>
      </c>
    </row>
    <row r="90" spans="1:7" x14ac:dyDescent="0.25">
      <c r="A90" s="9"/>
      <c r="B90" s="9"/>
      <c r="C90" s="28"/>
      <c r="D90" s="27"/>
      <c r="E90" s="25"/>
      <c r="F90" s="23"/>
      <c r="G90" s="7" t="e">
        <f t="shared" si="8"/>
        <v>#DIV/0!</v>
      </c>
    </row>
    <row r="91" spans="1:7" x14ac:dyDescent="0.25">
      <c r="A91" s="9"/>
      <c r="B91" s="9"/>
      <c r="C91" s="28"/>
      <c r="D91" s="27"/>
      <c r="E91" s="25"/>
      <c r="F91" s="23"/>
      <c r="G91" s="7" t="e">
        <f t="shared" si="8"/>
        <v>#DIV/0!</v>
      </c>
    </row>
    <row r="92" spans="1:7" x14ac:dyDescent="0.25">
      <c r="A92" s="9"/>
      <c r="B92" s="9"/>
      <c r="C92" s="28"/>
      <c r="D92" s="27"/>
      <c r="E92" s="25"/>
      <c r="F92" s="23"/>
      <c r="G92" s="7" t="e">
        <f t="shared" si="8"/>
        <v>#DIV/0!</v>
      </c>
    </row>
    <row r="93" spans="1:7" x14ac:dyDescent="0.25">
      <c r="A93" s="9"/>
      <c r="B93" s="9"/>
      <c r="C93" s="28"/>
      <c r="D93" s="27"/>
      <c r="E93" s="25"/>
      <c r="F93" s="23"/>
      <c r="G93" s="7" t="e">
        <f t="shared" si="8"/>
        <v>#DIV/0!</v>
      </c>
    </row>
    <row r="94" spans="1:7" x14ac:dyDescent="0.25">
      <c r="A94" s="9"/>
      <c r="B94" s="9"/>
      <c r="C94" s="16"/>
      <c r="D94" s="17"/>
      <c r="E94" s="9"/>
      <c r="F94" s="9"/>
      <c r="G94" s="9"/>
    </row>
    <row r="95" spans="1:7" x14ac:dyDescent="0.25">
      <c r="B95" s="9"/>
      <c r="C95" s="16"/>
      <c r="D95" s="15"/>
      <c r="E95" s="9"/>
      <c r="F95" s="9"/>
      <c r="G95" s="9"/>
    </row>
    <row r="96" spans="1:7" x14ac:dyDescent="0.25">
      <c r="B96" s="9"/>
      <c r="C96" s="16"/>
      <c r="D96" s="15"/>
      <c r="E96" s="9"/>
      <c r="F96" s="9"/>
      <c r="G96" s="9"/>
    </row>
    <row r="97" spans="2:7" x14ac:dyDescent="0.25">
      <c r="B97" s="9"/>
      <c r="C97" s="16"/>
      <c r="D97" s="15"/>
      <c r="E97" s="9"/>
      <c r="F97" s="9"/>
      <c r="G97" s="9"/>
    </row>
  </sheetData>
  <mergeCells count="18">
    <mergeCell ref="C88:E88"/>
    <mergeCell ref="A33:A37"/>
    <mergeCell ref="A38:A41"/>
    <mergeCell ref="A42:A44"/>
    <mergeCell ref="B42:B44"/>
    <mergeCell ref="A45:A47"/>
    <mergeCell ref="A48:G48"/>
    <mergeCell ref="A49:A58"/>
    <mergeCell ref="A59:A62"/>
    <mergeCell ref="A63:A69"/>
    <mergeCell ref="A70:A82"/>
    <mergeCell ref="A83:A86"/>
    <mergeCell ref="A28:A32"/>
    <mergeCell ref="A7:A8"/>
    <mergeCell ref="A9:A11"/>
    <mergeCell ref="A12:A14"/>
    <mergeCell ref="A15:A17"/>
    <mergeCell ref="A18:A27"/>
  </mergeCells>
  <conditionalFormatting sqref="G1:G47 G49:G1048576">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Главная!$AA$13:$AA$23</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tabColor rgb="FF00B050"/>
  </sheetPr>
  <dimension ref="A2:H97"/>
  <sheetViews>
    <sheetView topLeftCell="A47" workbookViewId="0">
      <selection activeCell="B28" sqref="A28:XFD37"/>
    </sheetView>
  </sheetViews>
  <sheetFormatPr defaultRowHeight="15" x14ac:dyDescent="0.25"/>
  <cols>
    <col min="1" max="1" width="55" customWidth="1"/>
    <col min="2" max="2" width="12.5703125" customWidth="1"/>
    <col min="3" max="3" width="83.140625" style="12" customWidth="1"/>
    <col min="4" max="4" width="49.140625" style="4" customWidth="1"/>
    <col min="5" max="5" width="11.42578125" customWidth="1"/>
    <col min="6" max="6" width="20" customWidth="1"/>
    <col min="7" max="7" width="16" customWidth="1"/>
    <col min="8" max="8" width="37.42578125" customWidth="1"/>
  </cols>
  <sheetData>
    <row r="2" spans="1:7" x14ac:dyDescent="0.25">
      <c r="A2" s="1" t="s">
        <v>80</v>
      </c>
      <c r="C2" s="12" t="s">
        <v>24</v>
      </c>
      <c r="D2" s="43">
        <v>2022</v>
      </c>
    </row>
    <row r="3" spans="1:7" x14ac:dyDescent="0.25">
      <c r="A3" t="s">
        <v>81</v>
      </c>
      <c r="C3" s="12" t="s">
        <v>191</v>
      </c>
      <c r="D3" s="58" t="s">
        <v>183</v>
      </c>
      <c r="E3" s="57" t="s">
        <v>220</v>
      </c>
    </row>
    <row r="4" spans="1:7" x14ac:dyDescent="0.25">
      <c r="C4" s="12" t="s">
        <v>75</v>
      </c>
      <c r="D4" s="10">
        <f>E83</f>
        <v>44.015070744250863</v>
      </c>
    </row>
    <row r="6" spans="1:7" x14ac:dyDescent="0.25">
      <c r="A6" t="s">
        <v>7</v>
      </c>
      <c r="C6" s="12" t="s">
        <v>25</v>
      </c>
      <c r="D6" s="4" t="s">
        <v>21</v>
      </c>
      <c r="F6" t="s">
        <v>20</v>
      </c>
      <c r="G6" t="s">
        <v>42</v>
      </c>
    </row>
    <row r="7" spans="1:7" x14ac:dyDescent="0.25">
      <c r="A7" s="79" t="s">
        <v>9</v>
      </c>
      <c r="B7" s="49" t="s">
        <v>0</v>
      </c>
      <c r="C7" s="13" t="s">
        <v>1</v>
      </c>
      <c r="D7" s="5"/>
      <c r="E7" s="1">
        <f>IF(E8&gt;=100,1,IF(E8&lt;=40,0,(E8-40)/60))*F7</f>
        <v>7.1338333333333326</v>
      </c>
      <c r="F7" s="2">
        <v>23</v>
      </c>
      <c r="G7" s="7">
        <f>E7/F7</f>
        <v>0.31016666666666665</v>
      </c>
    </row>
    <row r="8" spans="1:7" x14ac:dyDescent="0.25">
      <c r="A8" s="79"/>
      <c r="B8" s="50"/>
      <c r="C8" s="12" t="s">
        <v>4</v>
      </c>
      <c r="D8" s="4">
        <f>$D$2-2</f>
        <v>2020</v>
      </c>
      <c r="E8" s="22">
        <v>58.61</v>
      </c>
      <c r="G8" s="7"/>
    </row>
    <row r="9" spans="1:7" x14ac:dyDescent="0.25">
      <c r="A9" s="81" t="s">
        <v>10</v>
      </c>
      <c r="B9" s="47" t="s">
        <v>3</v>
      </c>
      <c r="C9" s="13" t="s">
        <v>2</v>
      </c>
      <c r="D9" s="5"/>
      <c r="E9" s="1" t="str">
        <f>IFERROR(IF(E10/E11*100&gt;=100,1,IF(E10/E11*100&lt;=80,0,((E10/E11*100)-80)/20))*F9," ")</f>
        <v xml:space="preserve"> </v>
      </c>
      <c r="F9" s="46">
        <v>3</v>
      </c>
      <c r="G9" s="7" t="e">
        <f t="shared" ref="G9:G38" si="0">E9/F9</f>
        <v>#VALUE!</v>
      </c>
    </row>
    <row r="10" spans="1:7" x14ac:dyDescent="0.25">
      <c r="A10" s="81"/>
      <c r="B10" s="48"/>
      <c r="C10" s="12" t="s">
        <v>23</v>
      </c>
      <c r="D10" s="4" t="str">
        <f>$D$2-2&amp;" "&amp;$D$2-3&amp;" "&amp;$D$2-4</f>
        <v>2020 2019 2018</v>
      </c>
      <c r="E10" s="22"/>
      <c r="G10" s="7"/>
    </row>
    <row r="11" spans="1:7" x14ac:dyDescent="0.25">
      <c r="A11" s="81"/>
      <c r="B11" s="48"/>
      <c r="C11" s="12" t="s">
        <v>22</v>
      </c>
      <c r="D11" s="4" t="str">
        <f>$D$2-2&amp;" "&amp;$D$2-3&amp;" "&amp;$D$2-4</f>
        <v>2020 2019 2018</v>
      </c>
      <c r="E11" s="22"/>
      <c r="G11" s="7"/>
    </row>
    <row r="12" spans="1:7" x14ac:dyDescent="0.25">
      <c r="A12" s="79" t="s">
        <v>8</v>
      </c>
      <c r="B12" s="49" t="s">
        <v>6</v>
      </c>
      <c r="C12" s="13" t="s">
        <v>5</v>
      </c>
      <c r="D12" s="5"/>
      <c r="E12" s="1">
        <f>IF(E14/E13&gt;=0.5,1,IF(E14/E13&lt;=0,0,(E14/E13/0.5)))*F12</f>
        <v>0</v>
      </c>
      <c r="F12" s="46">
        <v>4</v>
      </c>
      <c r="G12" s="7">
        <f t="shared" si="0"/>
        <v>0</v>
      </c>
    </row>
    <row r="13" spans="1:7" x14ac:dyDescent="0.25">
      <c r="A13" s="79"/>
      <c r="B13" s="50"/>
      <c r="C13" s="12" t="s">
        <v>11</v>
      </c>
      <c r="D13" s="4">
        <f>$D$2-2</f>
        <v>2020</v>
      </c>
      <c r="E13" s="22">
        <v>19</v>
      </c>
      <c r="G13" s="7"/>
    </row>
    <row r="14" spans="1:7" x14ac:dyDescent="0.25">
      <c r="A14" s="79"/>
      <c r="B14" s="50"/>
      <c r="C14" s="12" t="s">
        <v>12</v>
      </c>
      <c r="D14" s="4">
        <f>$D$2-2</f>
        <v>2020</v>
      </c>
      <c r="E14" s="22">
        <v>0</v>
      </c>
      <c r="G14" s="7"/>
    </row>
    <row r="15" spans="1:7" x14ac:dyDescent="0.25">
      <c r="A15" s="81" t="s">
        <v>17</v>
      </c>
      <c r="B15" s="47" t="s">
        <v>13</v>
      </c>
      <c r="C15" s="13" t="s">
        <v>14</v>
      </c>
      <c r="D15" s="5"/>
      <c r="E15" s="1">
        <f>IF(E16/E17&gt;=1,1,IF(E16/E17&lt;=0,0,(E16/E17)))*F15</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1</v>
      </c>
      <c r="G17" s="7"/>
    </row>
    <row r="18" spans="1:7" x14ac:dyDescent="0.25">
      <c r="A18" s="79" t="s">
        <v>217</v>
      </c>
      <c r="B18" s="49" t="s">
        <v>19</v>
      </c>
      <c r="C18" s="13" t="s">
        <v>18</v>
      </c>
      <c r="D18" s="5"/>
      <c r="E18" s="1">
        <f>IF(IF(E19+E22*0.25+E25*0.1&lt;=0,0,(((E20+0.25*E23+0.1*E26)+3*(E21+0.25*E24+0.1*E27))/(E19+E22*0.25+E25*0.1)))&gt;=0.25,1,IF(IF(E19+E22*0.25+E25*0.1&lt;=0,1,(((E20+0.25*E23+0.1*E26)+3*(E21+0.25*E24+0.1*E27))/(E19+E22*0.25+E25*0.1)))&lt;=0,0,IF(E19+E22*0.25+E25*0.1&lt;=0,1,(((E20+0.25*E23+0.1*E26)+3*(E21+0.25*E24+0.1*E27))/(E19+E22*0.25+E25*0.1))/0.25)))*F18</f>
        <v>0</v>
      </c>
      <c r="F18" s="11">
        <f>IF(OR(D3=Главная!AA14,D3=Главная!AA15,D3=Главная!AA17,D3=Главная!AA18,D3=Главная!AA21),6,9)</f>
        <v>9</v>
      </c>
      <c r="G18" s="7">
        <f t="shared" si="0"/>
        <v>0</v>
      </c>
    </row>
    <row r="19" spans="1:7" x14ac:dyDescent="0.25">
      <c r="A19" s="79"/>
      <c r="B19" s="50"/>
      <c r="C19" s="12" t="s">
        <v>26</v>
      </c>
      <c r="D19" s="4">
        <f t="shared" ref="D19:D41" si="1">$D$2-2</f>
        <v>2020</v>
      </c>
      <c r="E19" s="22">
        <v>4</v>
      </c>
      <c r="G19" s="7"/>
    </row>
    <row r="20" spans="1:7" x14ac:dyDescent="0.25">
      <c r="A20" s="79"/>
      <c r="B20" s="50"/>
      <c r="C20" s="12" t="s">
        <v>27</v>
      </c>
      <c r="D20" s="4">
        <f t="shared" si="1"/>
        <v>2020</v>
      </c>
      <c r="E20" s="22">
        <v>0</v>
      </c>
      <c r="G20" s="7"/>
    </row>
    <row r="21" spans="1:7" x14ac:dyDescent="0.25">
      <c r="A21" s="79"/>
      <c r="B21" s="50"/>
      <c r="C21" s="12" t="s">
        <v>28</v>
      </c>
      <c r="D21" s="4">
        <f t="shared" si="1"/>
        <v>2020</v>
      </c>
      <c r="E21" s="22">
        <v>0</v>
      </c>
      <c r="G21" s="7"/>
    </row>
    <row r="22" spans="1:7" x14ac:dyDescent="0.25">
      <c r="A22" s="79"/>
      <c r="B22" s="50"/>
      <c r="C22" s="12" t="s">
        <v>29</v>
      </c>
      <c r="D22" s="4">
        <f t="shared" si="1"/>
        <v>2020</v>
      </c>
      <c r="E22" s="22">
        <v>0</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0</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0</v>
      </c>
      <c r="G27" s="7"/>
    </row>
    <row r="28" spans="1:7" hidden="1" x14ac:dyDescent="0.25">
      <c r="A28" s="77" t="s">
        <v>143</v>
      </c>
      <c r="B28" s="47" t="s">
        <v>85</v>
      </c>
      <c r="C28" s="13" t="s">
        <v>84</v>
      </c>
      <c r="E28" s="11">
        <f>IFERROR(IF(IF(AND(E35+0.25*E36+0.1*E37=0,0.25*(E29+0.25*E30+0.1*E31)+(E32+0.25*E33+0.1*E34)&gt;0),1,(0.25*(E29+0.25*E30+0.1*E31)+(E32+0.25*E33+0.1*E34))/(E35+0.25*E36+0.1*E37))&gt;=0.2,1,IF(IF(E35+0.25*E36+0.1*E37=0,1,(0.25*(E29+0.25*E30+0.1*E31)+(E32+0.25*E33+0.1*E34))/(E35+0.25*E36+0.1*E37))&lt;=0,0,IF(E35+0.25*E36+0.1*E37=0,1,(0.25*(E29+0.25*E30+0.1*E31)+(E32+0.25*E33+0.1*E34))/(E35+0.25*E36+0.1*E37)/0.2)))*F28," ")</f>
        <v>0</v>
      </c>
      <c r="F28" s="1">
        <f>IF(OR(D3=Главная!AA14,D3=Главная!AA15,D3=Главная!AA17,D3=Главная!AA18,D3=Главная!AA21),6,0)</f>
        <v>0</v>
      </c>
      <c r="G28" s="7" t="e">
        <f t="shared" si="0"/>
        <v>#DIV/0!</v>
      </c>
    </row>
    <row r="29" spans="1:7" hidden="1" x14ac:dyDescent="0.25">
      <c r="A29" s="77"/>
      <c r="B29" s="48"/>
      <c r="C29" s="12" t="s">
        <v>86</v>
      </c>
      <c r="D29" s="14">
        <f>$D$2-3</f>
        <v>2019</v>
      </c>
      <c r="E29" s="22"/>
      <c r="G29" s="7"/>
    </row>
    <row r="30" spans="1:7" hidden="1" x14ac:dyDescent="0.25">
      <c r="A30" s="77"/>
      <c r="B30" s="48"/>
      <c r="C30" s="12" t="s">
        <v>87</v>
      </c>
      <c r="D30" s="14">
        <f t="shared" ref="D30:D34" si="2">$D$2-3</f>
        <v>2019</v>
      </c>
      <c r="E30" s="22"/>
      <c r="G30" s="7"/>
    </row>
    <row r="31" spans="1:7" hidden="1" x14ac:dyDescent="0.25">
      <c r="A31" s="77"/>
      <c r="B31" s="48"/>
      <c r="C31" s="12" t="s">
        <v>88</v>
      </c>
      <c r="D31" s="14">
        <f t="shared" si="2"/>
        <v>2019</v>
      </c>
      <c r="E31" s="22"/>
      <c r="G31" s="7"/>
    </row>
    <row r="32" spans="1:7" ht="39.75" hidden="1" customHeight="1" x14ac:dyDescent="0.25">
      <c r="A32" s="77"/>
      <c r="B32" s="48"/>
      <c r="C32" s="12" t="s">
        <v>89</v>
      </c>
      <c r="D32" s="14">
        <f t="shared" si="2"/>
        <v>2019</v>
      </c>
      <c r="E32" s="22"/>
      <c r="G32" s="7"/>
    </row>
    <row r="33" spans="1:7" hidden="1" x14ac:dyDescent="0.25">
      <c r="A33" s="77" t="s">
        <v>142</v>
      </c>
      <c r="B33" s="48"/>
      <c r="C33" s="12" t="s">
        <v>90</v>
      </c>
      <c r="D33" s="14">
        <f t="shared" si="2"/>
        <v>2019</v>
      </c>
      <c r="E33" s="22"/>
      <c r="G33" s="7"/>
    </row>
    <row r="34" spans="1:7" hidden="1" x14ac:dyDescent="0.25">
      <c r="A34" s="77"/>
      <c r="B34" s="48"/>
      <c r="C34" s="12" t="s">
        <v>91</v>
      </c>
      <c r="D34" s="14">
        <f t="shared" si="2"/>
        <v>2019</v>
      </c>
      <c r="E34" s="22"/>
      <c r="G34" s="7"/>
    </row>
    <row r="35" spans="1:7" hidden="1" x14ac:dyDescent="0.25">
      <c r="A35" s="77"/>
      <c r="B35" s="48"/>
      <c r="C35" s="12" t="s">
        <v>92</v>
      </c>
      <c r="D35" s="4">
        <f t="shared" ref="D35:D37" si="3">$D$2-2</f>
        <v>2020</v>
      </c>
      <c r="E35" s="22">
        <f>E19+E20</f>
        <v>4</v>
      </c>
      <c r="G35" s="7"/>
    </row>
    <row r="36" spans="1:7" hidden="1" x14ac:dyDescent="0.25">
      <c r="A36" s="77"/>
      <c r="B36" s="48"/>
      <c r="C36" s="12" t="s">
        <v>93</v>
      </c>
      <c r="D36" s="4">
        <f t="shared" si="3"/>
        <v>2020</v>
      </c>
      <c r="E36" s="22">
        <f>E22+E23</f>
        <v>0</v>
      </c>
      <c r="G36" s="7"/>
    </row>
    <row r="37" spans="1:7" hidden="1" x14ac:dyDescent="0.25">
      <c r="A37" s="77"/>
      <c r="B37" s="48"/>
      <c r="C37" s="12" t="s">
        <v>94</v>
      </c>
      <c r="D37" s="4">
        <f t="shared" si="3"/>
        <v>2020</v>
      </c>
      <c r="E37" s="22">
        <f>E25+E26</f>
        <v>0</v>
      </c>
      <c r="G37" s="7"/>
    </row>
    <row r="38" spans="1:7" x14ac:dyDescent="0.25">
      <c r="A38" s="78" t="s">
        <v>41</v>
      </c>
      <c r="B38" s="49" t="s">
        <v>36</v>
      </c>
      <c r="C38" s="13" t="s">
        <v>37</v>
      </c>
      <c r="D38" s="5"/>
      <c r="E38" s="1">
        <f>IF(((E39+E40*0.25+E41*0.1)/(E19+E22*0.25+E25*0.1))&gt;=0.5,1,IF((E39+E40*0.25+E41*0.1)/(E19+E22*0.25+E25*0.1)&lt;=0,0,((E39+E40*0.25+E41*0.1)/(E19+E22*0.25+E25*0.1)/0.5)))*F38</f>
        <v>0</v>
      </c>
      <c r="F38" s="11">
        <f>IF(OR(D3=Главная!AA14,D3=Главная!AA15,D3=Главная!AA17,D3=Главная!AA18,D3=Главная!AA21),6,9)</f>
        <v>9</v>
      </c>
      <c r="G38" s="7">
        <f t="shared" si="0"/>
        <v>0</v>
      </c>
    </row>
    <row r="39" spans="1:7" x14ac:dyDescent="0.25">
      <c r="A39" s="78"/>
      <c r="B39" s="50"/>
      <c r="C39" s="12" t="s">
        <v>38</v>
      </c>
      <c r="D39" s="4">
        <f t="shared" si="1"/>
        <v>2020</v>
      </c>
      <c r="E39" s="22"/>
      <c r="G39" s="7"/>
    </row>
    <row r="40" spans="1:7" x14ac:dyDescent="0.25">
      <c r="A40" s="78"/>
      <c r="B40" s="50"/>
      <c r="C40" s="40" t="s">
        <v>139</v>
      </c>
      <c r="D40" s="4">
        <f t="shared" si="1"/>
        <v>2020</v>
      </c>
      <c r="E40" s="22"/>
      <c r="G40" s="7"/>
    </row>
    <row r="41" spans="1:7" x14ac:dyDescent="0.25">
      <c r="A41" s="78"/>
      <c r="B41" s="50"/>
      <c r="C41" s="12" t="s">
        <v>40</v>
      </c>
      <c r="D41" s="4">
        <f t="shared" si="1"/>
        <v>2020</v>
      </c>
      <c r="E41" s="22"/>
      <c r="G41" s="7"/>
    </row>
    <row r="42" spans="1:7" ht="15" customHeight="1" x14ac:dyDescent="0.25">
      <c r="A42" s="77" t="s">
        <v>145</v>
      </c>
      <c r="B42" s="76" t="s">
        <v>44</v>
      </c>
      <c r="C42" s="13" t="s">
        <v>43</v>
      </c>
      <c r="D42" s="5"/>
      <c r="E42" s="1" t="str">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f>
        <v/>
      </c>
      <c r="F42" s="2">
        <v>25</v>
      </c>
      <c r="G42" s="7" t="e">
        <f>E42/F42</f>
        <v>#VALUE!</v>
      </c>
    </row>
    <row r="43" spans="1:7" x14ac:dyDescent="0.25">
      <c r="A43" s="77"/>
      <c r="B43" s="76" t="s">
        <v>218</v>
      </c>
      <c r="C43" s="12" t="s">
        <v>46</v>
      </c>
      <c r="D43" s="4" t="str">
        <f>$D$2-4&amp;" "&amp;$D$2-5&amp;" "&amp;$D$2-6</f>
        <v>2018 2017 2016</v>
      </c>
      <c r="E43" s="22"/>
    </row>
    <row r="44" spans="1:7" x14ac:dyDescent="0.25">
      <c r="A44" s="77"/>
      <c r="B44" s="76"/>
      <c r="C44" s="12" t="s">
        <v>45</v>
      </c>
      <c r="D44" s="4" t="str">
        <f>$D$2-3&amp;" "&amp;$D$2-4&amp;" "&amp;$D$2-5</f>
        <v>2019 2018 2017</v>
      </c>
      <c r="E44" s="22"/>
    </row>
    <row r="45" spans="1:7" x14ac:dyDescent="0.25">
      <c r="A45" s="79" t="s">
        <v>219</v>
      </c>
      <c r="B45" s="49" t="s">
        <v>48</v>
      </c>
      <c r="C45" s="13" t="s">
        <v>47</v>
      </c>
      <c r="D45" s="5"/>
      <c r="E45" s="1" t="str">
        <f>IFERROR(IF(E47/E46*100&lt;=30,0,IF(E47/E46*100&gt;=60,1,(E47/E46*100-30)/30))*F45," ")</f>
        <v xml:space="preserve"> </v>
      </c>
      <c r="F45" s="46">
        <v>5</v>
      </c>
      <c r="G45" s="7" t="e">
        <f t="shared" ref="G45" si="4">E45/F45</f>
        <v>#VALUE!</v>
      </c>
    </row>
    <row r="46" spans="1:7" x14ac:dyDescent="0.25">
      <c r="A46" s="79"/>
      <c r="B46" s="50"/>
      <c r="C46" s="12" t="s">
        <v>49</v>
      </c>
      <c r="D46" s="8">
        <f>$D$2-5</f>
        <v>2017</v>
      </c>
      <c r="E46" s="22"/>
    </row>
    <row r="47" spans="1:7" x14ac:dyDescent="0.25">
      <c r="A47" s="80"/>
      <c r="B47" s="50"/>
      <c r="C47" s="12" t="s">
        <v>50</v>
      </c>
      <c r="D47" s="4">
        <f t="shared" ref="D47" si="5">$D$2-2</f>
        <v>2020</v>
      </c>
      <c r="E47" s="29"/>
    </row>
    <row r="48" spans="1:7" s="56" customFormat="1" ht="15" customHeight="1" x14ac:dyDescent="0.25">
      <c r="A48" s="71" t="s">
        <v>224</v>
      </c>
      <c r="B48" s="72"/>
      <c r="C48" s="72"/>
      <c r="D48" s="72"/>
      <c r="E48" s="72"/>
      <c r="F48" s="72"/>
      <c r="G48" s="73"/>
    </row>
    <row r="49" spans="1:8" ht="15" customHeight="1" x14ac:dyDescent="0.25">
      <c r="A49" s="74" t="s">
        <v>59</v>
      </c>
      <c r="B49" s="59" t="s">
        <v>52</v>
      </c>
      <c r="C49" s="30" t="s">
        <v>53</v>
      </c>
      <c r="D49" s="31"/>
      <c r="E49" s="32">
        <f>IFERROR(IF((E56/(E50+E53)+E57/(E51+E54)+E58/(E52+E55))/3*100&lt;=5,0,IF((E56/(E50+E53)+E57/(E51+E54)+E58/(E52+E55))/3*100&gt;=100,1,((E56/(E50+E53)+E57/(E51+E54)+E58/(E52+E55))/3*100-5)/95))*F49,"")</f>
        <v>3.4663573753491654</v>
      </c>
      <c r="F49" s="32">
        <f>IF(OR(Главная!AA13=D3,Главная!AA14=D3,Главная!AA15=D3,Главная!AA16=D3,Главная!AA23=D3),5,0)</f>
        <v>5</v>
      </c>
      <c r="G49" s="33">
        <f t="shared" ref="G49" si="6">E49/F49</f>
        <v>0.69327147506983311</v>
      </c>
      <c r="H49" s="34"/>
    </row>
    <row r="50" spans="1:8" x14ac:dyDescent="0.25">
      <c r="A50" s="75"/>
      <c r="B50" s="55"/>
      <c r="C50" s="12" t="s">
        <v>54</v>
      </c>
      <c r="D50" s="8">
        <f>$D$2-5</f>
        <v>2017</v>
      </c>
      <c r="E50" s="22">
        <v>1051.2</v>
      </c>
    </row>
    <row r="51" spans="1:8" x14ac:dyDescent="0.25">
      <c r="A51" s="75"/>
      <c r="B51" s="55"/>
      <c r="C51" s="12" t="s">
        <v>54</v>
      </c>
      <c r="D51" s="8">
        <f>$D$2-4</f>
        <v>2018</v>
      </c>
      <c r="E51" s="22">
        <v>1047.5</v>
      </c>
    </row>
    <row r="52" spans="1:8" x14ac:dyDescent="0.25">
      <c r="A52" s="75"/>
      <c r="B52" s="55"/>
      <c r="C52" s="12" t="s">
        <v>54</v>
      </c>
      <c r="D52" s="8">
        <f>$D$2-3</f>
        <v>2019</v>
      </c>
      <c r="E52" s="22">
        <v>1059.5</v>
      </c>
    </row>
    <row r="53" spans="1:8" x14ac:dyDescent="0.25">
      <c r="A53" s="75"/>
      <c r="B53" s="55"/>
      <c r="C53" s="12" t="s">
        <v>55</v>
      </c>
      <c r="D53" s="8">
        <f>$D$2-5</f>
        <v>2017</v>
      </c>
      <c r="E53" s="22">
        <v>56.2</v>
      </c>
    </row>
    <row r="54" spans="1:8" x14ac:dyDescent="0.25">
      <c r="A54" s="75"/>
      <c r="B54" s="55"/>
      <c r="C54" s="12" t="s">
        <v>55</v>
      </c>
      <c r="D54" s="8">
        <f>$D$2-4</f>
        <v>2018</v>
      </c>
      <c r="E54" s="22">
        <v>54.6</v>
      </c>
    </row>
    <row r="55" spans="1:8" x14ac:dyDescent="0.25">
      <c r="A55" s="75"/>
      <c r="B55" s="55"/>
      <c r="C55" s="12" t="s">
        <v>55</v>
      </c>
      <c r="D55" s="8">
        <f>$D$2-3</f>
        <v>2019</v>
      </c>
      <c r="E55" s="22">
        <v>56.5</v>
      </c>
    </row>
    <row r="56" spans="1:8" x14ac:dyDescent="0.25">
      <c r="A56" s="75"/>
      <c r="B56" s="55"/>
      <c r="C56" s="12" t="s">
        <v>56</v>
      </c>
      <c r="D56" s="8">
        <f>$D$2-5</f>
        <v>2017</v>
      </c>
      <c r="E56" s="22">
        <v>380</v>
      </c>
    </row>
    <row r="57" spans="1:8" x14ac:dyDescent="0.25">
      <c r="A57" s="75"/>
      <c r="B57" s="55"/>
      <c r="C57" s="12" t="s">
        <v>56</v>
      </c>
      <c r="D57" s="8">
        <f>$D$2-4</f>
        <v>2018</v>
      </c>
      <c r="E57" s="22">
        <v>830</v>
      </c>
      <c r="F57" s="9"/>
    </row>
    <row r="58" spans="1:8" x14ac:dyDescent="0.25">
      <c r="A58" s="75"/>
      <c r="B58" s="55"/>
      <c r="C58" s="12" t="s">
        <v>56</v>
      </c>
      <c r="D58" s="8">
        <f>$D$2-3</f>
        <v>2019</v>
      </c>
      <c r="E58" s="22">
        <v>1149</v>
      </c>
      <c r="F58" s="9"/>
    </row>
    <row r="59" spans="1:8" x14ac:dyDescent="0.25">
      <c r="A59" s="82" t="s">
        <v>79</v>
      </c>
      <c r="B59" s="51" t="s">
        <v>58</v>
      </c>
      <c r="C59" s="13" t="s">
        <v>57</v>
      </c>
      <c r="D59" s="5"/>
      <c r="E59" s="1">
        <f>IFERROR(IF((E60/(E50+E53)+E61/(E51+E54)+E62/(E52+E55))/3&lt;=100,0,IF((E60/(E50+E53)+E61/(E51+E54)+E62/(E52+E55))/3&gt;=1000,1,((E60/(E50+E53)+E61/(E51+E54)+E62/(E52+E55))/3-100)/900))*F59," ")</f>
        <v>1.5603247670164266</v>
      </c>
      <c r="F59" s="11">
        <f>IF(OR(Главная!AA17=D3,Главная!AA20=D3),7,IF(OR(Главная!AA13=D3,Главная!AA14=D3,Главная!AA15=D3,Главная!AA16=D3,Главная!AA23=D3),5,0))</f>
        <v>5</v>
      </c>
      <c r="G59" s="7">
        <f t="shared" ref="G59" si="7">E59/F59</f>
        <v>0.31206495340328533</v>
      </c>
    </row>
    <row r="60" spans="1:8" x14ac:dyDescent="0.25">
      <c r="A60" s="82"/>
      <c r="B60" s="52"/>
      <c r="C60" s="12" t="s">
        <v>82</v>
      </c>
      <c r="D60" s="8">
        <f>$D$2-5</f>
        <v>2017</v>
      </c>
      <c r="E60" s="22">
        <v>265431.7</v>
      </c>
      <c r="F60" s="9"/>
    </row>
    <row r="61" spans="1:8" x14ac:dyDescent="0.25">
      <c r="A61" s="82"/>
      <c r="B61" s="52"/>
      <c r="C61" s="12" t="s">
        <v>82</v>
      </c>
      <c r="D61" s="8">
        <f>$D$2-4</f>
        <v>2018</v>
      </c>
      <c r="E61" s="22">
        <v>382808.6</v>
      </c>
      <c r="F61" s="9"/>
    </row>
    <row r="62" spans="1:8" x14ac:dyDescent="0.25">
      <c r="A62" s="82"/>
      <c r="B62" s="52"/>
      <c r="C62" s="12" t="s">
        <v>82</v>
      </c>
      <c r="D62" s="8">
        <f>$D$2-3</f>
        <v>2019</v>
      </c>
      <c r="E62" s="22">
        <v>619984.4</v>
      </c>
      <c r="F62" s="9"/>
    </row>
    <row r="63" spans="1:8" x14ac:dyDescent="0.25">
      <c r="A63" s="83" t="s">
        <v>78</v>
      </c>
      <c r="B63" s="2" t="s">
        <v>61</v>
      </c>
      <c r="C63" s="13" t="s">
        <v>60</v>
      </c>
      <c r="D63" s="5"/>
      <c r="E63" s="1">
        <f>IF((E67+0.25*E68+0.1*E69)/(E64+E65*0.25+E66*0.1)*100&gt;=15,1,IF((E67+0.25*E68+0.1*E69)/(E64+E65*0.25+E66*0.1)*100&lt;=1,0,((E67+0.25*E68+0.1*E69)/(E64+E65*0.25+E66*0.1)*100-1)/14))*F63</f>
        <v>2.0440733307183585</v>
      </c>
      <c r="F63" s="11">
        <f>IF(OR(Главная!AA17=D3,Главная!AA20=D3,Главная!AA18=D3),6,IF(OR(Главная!AA13=D3,Главная!AA14=D3,Главная!AA15=D3,Главная!AA16=D3,Главная!AA23=D3),5,10))</f>
        <v>5</v>
      </c>
      <c r="G63" s="7">
        <f t="shared" ref="G63:G93" si="8">E63/F63</f>
        <v>0.40881466614367168</v>
      </c>
    </row>
    <row r="64" spans="1:8"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4.8104819378335826</v>
      </c>
      <c r="F70" s="11">
        <f>IF(OR(Главная!AA17=D3,Главная!AA20=D3,Главная!AA18=D3),7,IF(OR(Главная!AA13=D3,Главная!AA14=D3,Главная!AA15=D3,Главная!AA16=D3,Главная!AA23=D3),5,10))</f>
        <v>5</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SUM(E7,E9,E12,E15,E18,E38,E42,E45,E49,E59,E63,E70,E28,E89:E93)*(IF(1+0.5*((E84+E85*0.25+E86*0.1)/(E19+E22*0.25+E25*0.1)-0.2)/0.8&lt;1,1,1+0.5*((E84+E85*0.25+E86*0.1)/(E19+E22*0.25+E25*0.1)-0.2)/0.8))</f>
        <v>44.015070744250863</v>
      </c>
      <c r="F83">
        <v>100</v>
      </c>
      <c r="G83" s="7">
        <f t="shared" si="8"/>
        <v>0.44015070744250862</v>
      </c>
    </row>
    <row r="84" spans="1:7" x14ac:dyDescent="0.25">
      <c r="A84" s="85"/>
      <c r="B84" s="54"/>
      <c r="C84" s="12" t="s">
        <v>72</v>
      </c>
      <c r="D84" s="4">
        <f t="shared" ref="D84:D86" si="10">$D$2-2</f>
        <v>2020</v>
      </c>
      <c r="E84" s="22">
        <v>0</v>
      </c>
      <c r="G84" s="7"/>
    </row>
    <row r="85" spans="1:7" x14ac:dyDescent="0.25">
      <c r="A85" s="85"/>
      <c r="B85" s="54"/>
      <c r="C85" s="12" t="s">
        <v>73</v>
      </c>
      <c r="D85" s="4">
        <f t="shared" si="10"/>
        <v>2020</v>
      </c>
      <c r="E85" s="22">
        <v>0</v>
      </c>
      <c r="G85" s="7"/>
    </row>
    <row r="86" spans="1:7" x14ac:dyDescent="0.25">
      <c r="A86" s="85"/>
      <c r="B86" s="54"/>
      <c r="C86" s="12" t="s">
        <v>74</v>
      </c>
      <c r="D86" s="4">
        <f t="shared" si="10"/>
        <v>2020</v>
      </c>
      <c r="E86" s="22">
        <v>0</v>
      </c>
      <c r="G86" s="7"/>
    </row>
    <row r="87" spans="1:7" x14ac:dyDescent="0.25">
      <c r="G87" s="7"/>
    </row>
    <row r="88" spans="1:7" x14ac:dyDescent="0.25">
      <c r="A88" s="9"/>
      <c r="B88" s="11" t="s">
        <v>96</v>
      </c>
      <c r="C88" s="86" t="s">
        <v>97</v>
      </c>
      <c r="D88" s="86"/>
      <c r="E88" s="86"/>
      <c r="F88" s="11"/>
      <c r="G88" s="7"/>
    </row>
    <row r="89" spans="1:7" x14ac:dyDescent="0.25">
      <c r="A89" s="9"/>
      <c r="B89" s="9"/>
      <c r="C89" s="64" t="s">
        <v>43</v>
      </c>
      <c r="D89" s="27"/>
      <c r="E89" s="24">
        <v>25</v>
      </c>
      <c r="F89" s="23">
        <v>25</v>
      </c>
      <c r="G89" s="7">
        <f t="shared" si="8"/>
        <v>1</v>
      </c>
    </row>
    <row r="90" spans="1:7" x14ac:dyDescent="0.25">
      <c r="A90" s="9"/>
      <c r="B90" s="9"/>
      <c r="C90" s="28"/>
      <c r="D90" s="27"/>
      <c r="E90" s="25"/>
      <c r="F90" s="23"/>
      <c r="G90" s="7" t="e">
        <f t="shared" si="8"/>
        <v>#DIV/0!</v>
      </c>
    </row>
    <row r="91" spans="1:7" x14ac:dyDescent="0.25">
      <c r="A91" s="9"/>
      <c r="B91" s="9"/>
      <c r="C91" s="28"/>
      <c r="D91" s="27"/>
      <c r="E91" s="25"/>
      <c r="F91" s="23"/>
      <c r="G91" s="7" t="e">
        <f t="shared" si="8"/>
        <v>#DIV/0!</v>
      </c>
    </row>
    <row r="92" spans="1:7" x14ac:dyDescent="0.25">
      <c r="A92" s="9"/>
      <c r="B92" s="9"/>
      <c r="C92" s="28"/>
      <c r="D92" s="27"/>
      <c r="E92" s="25"/>
      <c r="F92" s="23"/>
      <c r="G92" s="7" t="e">
        <f t="shared" si="8"/>
        <v>#DIV/0!</v>
      </c>
    </row>
    <row r="93" spans="1:7" x14ac:dyDescent="0.25">
      <c r="A93" s="9"/>
      <c r="B93" s="9"/>
      <c r="C93" s="28"/>
      <c r="D93" s="27"/>
      <c r="E93" s="25"/>
      <c r="F93" s="23"/>
      <c r="G93" s="7" t="e">
        <f t="shared" si="8"/>
        <v>#DIV/0!</v>
      </c>
    </row>
    <row r="94" spans="1:7" x14ac:dyDescent="0.25">
      <c r="A94" s="9"/>
      <c r="B94" s="9"/>
      <c r="C94" s="16"/>
      <c r="D94" s="17"/>
      <c r="E94" s="9"/>
      <c r="F94" s="9"/>
      <c r="G94" s="9"/>
    </row>
    <row r="95" spans="1:7" x14ac:dyDescent="0.25">
      <c r="B95" s="9"/>
      <c r="C95" s="16"/>
      <c r="D95" s="15"/>
      <c r="E95" s="9"/>
      <c r="F95" s="9"/>
      <c r="G95" s="9"/>
    </row>
    <row r="96" spans="1:7" x14ac:dyDescent="0.25">
      <c r="B96" s="9"/>
      <c r="C96" s="16"/>
      <c r="D96" s="15"/>
      <c r="E96" s="9"/>
      <c r="F96" s="9"/>
      <c r="G96" s="9"/>
    </row>
    <row r="97" spans="2:7" x14ac:dyDescent="0.25">
      <c r="B97" s="9"/>
      <c r="C97" s="16"/>
      <c r="D97" s="15"/>
      <c r="E97" s="9"/>
      <c r="F97" s="9"/>
      <c r="G97" s="9"/>
    </row>
  </sheetData>
  <mergeCells count="18">
    <mergeCell ref="C88:E88"/>
    <mergeCell ref="A33:A37"/>
    <mergeCell ref="A38:A41"/>
    <mergeCell ref="A42:A44"/>
    <mergeCell ref="B42:B44"/>
    <mergeCell ref="A45:A47"/>
    <mergeCell ref="A48:G48"/>
    <mergeCell ref="A49:A58"/>
    <mergeCell ref="A59:A62"/>
    <mergeCell ref="A63:A69"/>
    <mergeCell ref="A70:A82"/>
    <mergeCell ref="A83:A86"/>
    <mergeCell ref="A28:A32"/>
    <mergeCell ref="A7:A8"/>
    <mergeCell ref="A9:A11"/>
    <mergeCell ref="A12:A14"/>
    <mergeCell ref="A15:A17"/>
    <mergeCell ref="A18:A27"/>
  </mergeCells>
  <conditionalFormatting sqref="G1:G47 G49:G1048576">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Главная!$AA$13:$AA$23</xm:f>
          </x14:formula1>
          <xm:sqref>D3</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tabColor rgb="FF00B050"/>
  </sheetPr>
  <dimension ref="A2:G89"/>
  <sheetViews>
    <sheetView workbookViewId="0"/>
  </sheetViews>
  <sheetFormatPr defaultRowHeight="15" x14ac:dyDescent="0.25"/>
  <cols>
    <col min="1" max="1" width="59.5703125" customWidth="1"/>
    <col min="2" max="2" width="9" customWidth="1"/>
    <col min="3" max="3" width="50.42578125" customWidth="1"/>
    <col min="4" max="4" width="37.7109375" customWidth="1"/>
    <col min="5" max="7" width="17.42578125" customWidth="1"/>
  </cols>
  <sheetData>
    <row r="2" spans="1:7" x14ac:dyDescent="0.25">
      <c r="A2" s="1" t="s">
        <v>80</v>
      </c>
      <c r="C2" s="12" t="s">
        <v>24</v>
      </c>
      <c r="D2" s="43">
        <v>2022</v>
      </c>
    </row>
    <row r="3" spans="1:7" ht="18" customHeight="1" x14ac:dyDescent="0.25">
      <c r="A3" t="s">
        <v>81</v>
      </c>
      <c r="C3" s="12" t="s">
        <v>191</v>
      </c>
      <c r="D3" s="58" t="s">
        <v>242</v>
      </c>
      <c r="E3" s="57" t="s">
        <v>220</v>
      </c>
    </row>
    <row r="4" spans="1:7" x14ac:dyDescent="0.25">
      <c r="C4" s="12" t="s">
        <v>75</v>
      </c>
      <c r="D4" s="10">
        <f>E83</f>
        <v>15.600787802334306</v>
      </c>
    </row>
    <row r="5" spans="1:7" x14ac:dyDescent="0.25">
      <c r="C5" s="12"/>
      <c r="D5" s="4"/>
    </row>
    <row r="6" spans="1:7" x14ac:dyDescent="0.25">
      <c r="A6" t="s">
        <v>7</v>
      </c>
      <c r="C6" s="12" t="s">
        <v>25</v>
      </c>
      <c r="D6" s="4" t="s">
        <v>21</v>
      </c>
      <c r="F6" t="s">
        <v>20</v>
      </c>
      <c r="G6" t="s">
        <v>42</v>
      </c>
    </row>
    <row r="7" spans="1:7" x14ac:dyDescent="0.25">
      <c r="A7" s="79" t="s">
        <v>9</v>
      </c>
      <c r="B7" s="49" t="s">
        <v>0</v>
      </c>
      <c r="C7" s="13" t="s">
        <v>1</v>
      </c>
      <c r="D7" s="5"/>
      <c r="E7" s="1">
        <f>IF(E8&gt;=100,1,IF(E8&lt;=40,0,(E8-40)/60))*F7</f>
        <v>0</v>
      </c>
      <c r="F7" s="2">
        <v>23</v>
      </c>
      <c r="G7" s="7">
        <f>E7/F7</f>
        <v>0</v>
      </c>
    </row>
    <row r="8" spans="1:7" x14ac:dyDescent="0.25">
      <c r="A8" s="79"/>
      <c r="B8" s="50"/>
      <c r="C8" s="12" t="s">
        <v>4</v>
      </c>
      <c r="D8" s="4">
        <f>$D$2-2</f>
        <v>2020</v>
      </c>
      <c r="E8" s="22"/>
      <c r="G8" s="7"/>
    </row>
    <row r="9" spans="1:7" x14ac:dyDescent="0.25">
      <c r="A9" s="81" t="s">
        <v>10</v>
      </c>
      <c r="B9" s="47" t="s">
        <v>3</v>
      </c>
      <c r="C9" s="13" t="s">
        <v>2</v>
      </c>
      <c r="D9" s="5"/>
      <c r="E9" s="1">
        <f>IFERROR(IF(E10/E11*100&gt;=100,1,IF(E10/E11*100&lt;=80,0,((E10/E11*100)-80)/20))*F9,0)</f>
        <v>0</v>
      </c>
      <c r="F9" s="46">
        <v>3</v>
      </c>
      <c r="G9" s="7">
        <f t="shared" ref="G9:G38" si="0">E9/F9</f>
        <v>0</v>
      </c>
    </row>
    <row r="10" spans="1:7" x14ac:dyDescent="0.25">
      <c r="A10" s="81"/>
      <c r="B10" s="48"/>
      <c r="C10" s="12" t="s">
        <v>23</v>
      </c>
      <c r="D10" s="4" t="str">
        <f>$D$2-2&amp;" "&amp;$D$2-3&amp;" "&amp;$D$2-4</f>
        <v>2020 2019 2018</v>
      </c>
      <c r="E10" s="22">
        <v>0</v>
      </c>
      <c r="G10" s="7"/>
    </row>
    <row r="11" spans="1:7" x14ac:dyDescent="0.25">
      <c r="A11" s="81"/>
      <c r="B11" s="48"/>
      <c r="C11" s="12" t="s">
        <v>22</v>
      </c>
      <c r="D11" s="4" t="str">
        <f>$D$2-2&amp;" "&amp;$D$2-3&amp;" "&amp;$D$2-4</f>
        <v>2020 2019 2018</v>
      </c>
      <c r="E11" s="22">
        <v>0</v>
      </c>
      <c r="G11" s="7"/>
    </row>
    <row r="12" spans="1:7" x14ac:dyDescent="0.25">
      <c r="A12" s="79" t="s">
        <v>8</v>
      </c>
      <c r="B12" s="49" t="s">
        <v>6</v>
      </c>
      <c r="C12" s="13" t="s">
        <v>5</v>
      </c>
      <c r="D12" s="5"/>
      <c r="E12" s="1">
        <f>IFERROR(IF(E14/E13&gt;=0.5,1,IF(E14/E13&lt;=0,0,(E14/E13/0.5)))*F12,0)</f>
        <v>0</v>
      </c>
      <c r="F12" s="46">
        <v>4</v>
      </c>
      <c r="G12" s="7">
        <f t="shared" si="0"/>
        <v>0</v>
      </c>
    </row>
    <row r="13" spans="1:7" x14ac:dyDescent="0.25">
      <c r="A13" s="79"/>
      <c r="B13" s="50"/>
      <c r="C13" s="12" t="s">
        <v>11</v>
      </c>
      <c r="D13" s="4">
        <f>$D$2-2</f>
        <v>2020</v>
      </c>
      <c r="E13" s="22">
        <v>0</v>
      </c>
      <c r="G13" s="7"/>
    </row>
    <row r="14" spans="1:7" x14ac:dyDescent="0.25">
      <c r="A14" s="79"/>
      <c r="B14" s="50"/>
      <c r="C14" s="12" t="s">
        <v>12</v>
      </c>
      <c r="D14" s="4">
        <f>$D$2-2</f>
        <v>2020</v>
      </c>
      <c r="E14" s="22">
        <v>0</v>
      </c>
      <c r="G14" s="7"/>
    </row>
    <row r="15" spans="1:7" x14ac:dyDescent="0.25">
      <c r="A15" s="81" t="s">
        <v>17</v>
      </c>
      <c r="B15" s="47" t="s">
        <v>13</v>
      </c>
      <c r="C15" s="13" t="s">
        <v>14</v>
      </c>
      <c r="D15" s="5"/>
      <c r="E15" s="1">
        <f>IFERROR(IF(E16/E17&gt;=1,1,IF(E16/E17&lt;=0,0,(E16/E17)))*F15,0)</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0</v>
      </c>
      <c r="G17" s="7"/>
    </row>
    <row r="18" spans="1:7" x14ac:dyDescent="0.25">
      <c r="A18" s="79" t="s">
        <v>217</v>
      </c>
      <c r="B18" s="49" t="s">
        <v>19</v>
      </c>
      <c r="C18" s="13" t="s">
        <v>18</v>
      </c>
      <c r="D18" s="5"/>
      <c r="E18" s="1">
        <f>IF(SUM(E19:E27)=0,0,IFERROR(IF(IF(E19+E22*0.25+E25*0.1&lt;=0,0,(((E20+0.25*E23+0.1*E26)+3*(E21+0.25*E24+0.1*E27))/(E19+E22*0.25+E25*0.1)))&gt;=0.25,1,IF(IF(E19+E22*0.25+E25*0.1&lt;=0,1,(((E20+0.25*E23+0.1*E26)+3*(E21+0.25*E24+0.1*E27))/(E19+E22*0.25+E25*0.1)))&lt;=0,0,IF(E19+E22*0.25+E25*0.1&lt;=0,1,(((E20+0.25*E23+0.1*E26)+3*(E21+0.25*E24+0.1*E27))/(E19+E22*0.25+E25*0.1))/0.25)))*F18,""))</f>
        <v>0</v>
      </c>
      <c r="F18" s="11">
        <v>6</v>
      </c>
      <c r="G18" s="7">
        <f t="shared" si="0"/>
        <v>0</v>
      </c>
    </row>
    <row r="19" spans="1:7" x14ac:dyDescent="0.25">
      <c r="A19" s="79"/>
      <c r="B19" s="50"/>
      <c r="C19" s="12" t="s">
        <v>26</v>
      </c>
      <c r="D19" s="4">
        <f t="shared" ref="D19:D41" si="1">$D$2-2</f>
        <v>2020</v>
      </c>
      <c r="E19" s="22">
        <v>0</v>
      </c>
      <c r="G19" s="7"/>
    </row>
    <row r="20" spans="1:7" x14ac:dyDescent="0.25">
      <c r="A20" s="79"/>
      <c r="B20" s="50"/>
      <c r="C20" s="12" t="s">
        <v>27</v>
      </c>
      <c r="D20" s="4">
        <f t="shared" si="1"/>
        <v>2020</v>
      </c>
      <c r="E20" s="22">
        <v>0</v>
      </c>
      <c r="G20" s="7"/>
    </row>
    <row r="21" spans="1:7" x14ac:dyDescent="0.25">
      <c r="A21" s="79"/>
      <c r="B21" s="50"/>
      <c r="C21" s="12" t="s">
        <v>28</v>
      </c>
      <c r="D21" s="4">
        <f t="shared" si="1"/>
        <v>2020</v>
      </c>
      <c r="E21" s="22">
        <v>0</v>
      </c>
      <c r="G21" s="7"/>
    </row>
    <row r="22" spans="1:7" x14ac:dyDescent="0.25">
      <c r="A22" s="79"/>
      <c r="B22" s="50"/>
      <c r="C22" s="12" t="s">
        <v>29</v>
      </c>
      <c r="D22" s="4">
        <f t="shared" si="1"/>
        <v>2020</v>
      </c>
      <c r="E22" s="22">
        <v>0</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0</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0</v>
      </c>
      <c r="G27" s="7"/>
    </row>
    <row r="28" spans="1:7" x14ac:dyDescent="0.25">
      <c r="A28" s="77" t="s">
        <v>143</v>
      </c>
      <c r="B28" s="47" t="s">
        <v>85</v>
      </c>
      <c r="C28" s="13" t="s">
        <v>84</v>
      </c>
      <c r="D28" s="4"/>
      <c r="E28" s="11">
        <f>IFERROR(IF(IF(AND(E35+0.25*E36+0.1*E37=0,0.25*(E29+0.25*E30+0.1*E31)+(E32+0.25*E33+0.1*E34)&gt;0),1,(0.25*(E29+0.25*E30+0.1*E31)+(E32+0.25*E33+0.1*E34))/(E35+0.25*E36+0.1*E37))&gt;=0.2,1,IF(IF(E35+0.25*E36+0.1*E37=0,1,(0.25*(E29+0.25*E30+0.1*E31)+(E32+0.25*E33+0.1*E34))/(E35+0.25*E36+0.1*E37))&lt;=0,0,IF(E35+0.25*E36+0.1*E37=0,1,(0.25*(E29+0.25*E30+0.1*E31)+(E32+0.25*E33+0.1*E34))/(E35+0.25*E36+0.1*E37)/0.2)))*F28,0)</f>
        <v>0</v>
      </c>
      <c r="F28" s="1">
        <v>6</v>
      </c>
      <c r="G28" s="7">
        <f t="shared" si="0"/>
        <v>0</v>
      </c>
    </row>
    <row r="29" spans="1:7" x14ac:dyDescent="0.25">
      <c r="A29" s="77"/>
      <c r="B29" s="48"/>
      <c r="C29" s="12" t="s">
        <v>86</v>
      </c>
      <c r="D29" s="14">
        <f>$D$2-3</f>
        <v>2019</v>
      </c>
      <c r="E29" s="22"/>
      <c r="G29" s="7"/>
    </row>
    <row r="30" spans="1:7" x14ac:dyDescent="0.25">
      <c r="A30" s="77"/>
      <c r="B30" s="48"/>
      <c r="C30" s="12" t="s">
        <v>87</v>
      </c>
      <c r="D30" s="14">
        <f t="shared" ref="D30:D34" si="2">$D$2-3</f>
        <v>2019</v>
      </c>
      <c r="E30" s="22"/>
      <c r="G30" s="7"/>
    </row>
    <row r="31" spans="1:7" x14ac:dyDescent="0.25">
      <c r="A31" s="77"/>
      <c r="B31" s="48"/>
      <c r="C31" s="12" t="s">
        <v>88</v>
      </c>
      <c r="D31" s="14">
        <f t="shared" si="2"/>
        <v>2019</v>
      </c>
      <c r="E31" s="22"/>
      <c r="G31" s="7"/>
    </row>
    <row r="32" spans="1:7" x14ac:dyDescent="0.25">
      <c r="A32" s="77"/>
      <c r="B32" s="48"/>
      <c r="C32" s="12" t="s">
        <v>89</v>
      </c>
      <c r="D32" s="14">
        <f t="shared" si="2"/>
        <v>2019</v>
      </c>
      <c r="E32" s="22"/>
      <c r="G32" s="7"/>
    </row>
    <row r="33" spans="1:7" x14ac:dyDescent="0.25">
      <c r="A33" s="77" t="s">
        <v>142</v>
      </c>
      <c r="B33" s="48"/>
      <c r="C33" s="12" t="s">
        <v>90</v>
      </c>
      <c r="D33" s="14">
        <f t="shared" si="2"/>
        <v>2019</v>
      </c>
      <c r="E33" s="22"/>
      <c r="G33" s="7"/>
    </row>
    <row r="34" spans="1:7" x14ac:dyDescent="0.25">
      <c r="A34" s="77"/>
      <c r="B34" s="48"/>
      <c r="C34" s="12" t="s">
        <v>91</v>
      </c>
      <c r="D34" s="14">
        <f t="shared" si="2"/>
        <v>2019</v>
      </c>
      <c r="E34" s="22"/>
      <c r="G34" s="7"/>
    </row>
    <row r="35" spans="1:7" x14ac:dyDescent="0.25">
      <c r="A35" s="77"/>
      <c r="B35" s="48"/>
      <c r="C35" s="12" t="s">
        <v>92</v>
      </c>
      <c r="D35" s="4">
        <f t="shared" ref="D35:D37" si="3">$D$2-2</f>
        <v>2020</v>
      </c>
      <c r="E35" s="22">
        <f>E19+E20</f>
        <v>0</v>
      </c>
      <c r="G35" s="7"/>
    </row>
    <row r="36" spans="1:7" x14ac:dyDescent="0.25">
      <c r="A36" s="77"/>
      <c r="B36" s="48"/>
      <c r="C36" s="12" t="s">
        <v>93</v>
      </c>
      <c r="D36" s="4">
        <f t="shared" si="3"/>
        <v>2020</v>
      </c>
      <c r="E36" s="22">
        <f>E22+E23</f>
        <v>0</v>
      </c>
      <c r="G36" s="7"/>
    </row>
    <row r="37" spans="1:7" x14ac:dyDescent="0.25">
      <c r="A37" s="77"/>
      <c r="B37" s="48"/>
      <c r="C37" s="12" t="s">
        <v>94</v>
      </c>
      <c r="D37" s="4">
        <f t="shared" si="3"/>
        <v>2020</v>
      </c>
      <c r="E37" s="22">
        <f>E25+E26</f>
        <v>0</v>
      </c>
      <c r="G37" s="7"/>
    </row>
    <row r="38" spans="1:7" x14ac:dyDescent="0.25">
      <c r="A38" s="78" t="s">
        <v>41</v>
      </c>
      <c r="B38" s="49" t="s">
        <v>36</v>
      </c>
      <c r="C38" s="13" t="s">
        <v>37</v>
      </c>
      <c r="D38" s="5"/>
      <c r="E38" s="1">
        <f>IFERROR(IF(((E39+E40*0.25+E41*0.1)/(E19+E22*0.25+E25*0.1))&gt;=0.5,1,IF((E39+E40*0.25+E41*0.1)/(E19+E22*0.25+E25*0.1)&lt;=0,0,((E39+E40*0.25+E41*0.1)/(E19+E22*0.25+E25*0.1)/0.5)))*F38,0)</f>
        <v>0</v>
      </c>
      <c r="F38" s="11">
        <v>6</v>
      </c>
      <c r="G38" s="7">
        <f t="shared" si="0"/>
        <v>0</v>
      </c>
    </row>
    <row r="39" spans="1:7" x14ac:dyDescent="0.25">
      <c r="A39" s="78"/>
      <c r="B39" s="50"/>
      <c r="C39" s="12" t="s">
        <v>38</v>
      </c>
      <c r="D39" s="4">
        <f t="shared" si="1"/>
        <v>2020</v>
      </c>
      <c r="E39" s="22">
        <v>0</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0</v>
      </c>
      <c r="G41" s="7"/>
    </row>
    <row r="42" spans="1:7" x14ac:dyDescent="0.25">
      <c r="A42" s="77" t="s">
        <v>145</v>
      </c>
      <c r="B42" s="76" t="s">
        <v>44</v>
      </c>
      <c r="C42" s="13" t="s">
        <v>43</v>
      </c>
      <c r="D42" s="5"/>
      <c r="E42" s="1">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Методики",IF(E44/E43*100&lt;=30,0,IF(E44/E43*100&gt;=85,1,(E44/E43*100-30)/55)))*F42,0)</f>
        <v>0</v>
      </c>
      <c r="F42" s="2">
        <v>25</v>
      </c>
      <c r="G42" s="7">
        <f>E42/F42</f>
        <v>0</v>
      </c>
    </row>
    <row r="43" spans="1:7" x14ac:dyDescent="0.25">
      <c r="A43" s="77"/>
      <c r="B43" s="76" t="s">
        <v>218</v>
      </c>
      <c r="C43" s="12" t="s">
        <v>46</v>
      </c>
      <c r="D43" s="4" t="str">
        <f>$D$2-4&amp;" "&amp;$D$2-5&amp;" "&amp;$D$2-6</f>
        <v>2018 2017 2016</v>
      </c>
      <c r="E43" s="22">
        <v>0</v>
      </c>
    </row>
    <row r="44" spans="1:7" x14ac:dyDescent="0.25">
      <c r="A44" s="77"/>
      <c r="B44" s="76"/>
      <c r="C44" s="12" t="s">
        <v>45</v>
      </c>
      <c r="D44" s="4" t="str">
        <f>$D$2-3&amp;" "&amp;$D$2-4&amp;" "&amp;$D$2-5</f>
        <v>2019 2018 2017</v>
      </c>
      <c r="E44" s="22">
        <v>0</v>
      </c>
    </row>
    <row r="45" spans="1:7" x14ac:dyDescent="0.25">
      <c r="A45" s="79" t="s">
        <v>219</v>
      </c>
      <c r="B45" s="49" t="s">
        <v>48</v>
      </c>
      <c r="C45" s="13" t="s">
        <v>47</v>
      </c>
      <c r="D45" s="5"/>
      <c r="E45" s="1">
        <f>IFERROR(IF(E47/E46*100&lt;=30,0,IF(E47/E46*100&gt;=60,1,(E47/E46*100-30)/30))*F45,0)</f>
        <v>0</v>
      </c>
      <c r="F45" s="46">
        <v>5</v>
      </c>
      <c r="G45" s="7">
        <f t="shared" ref="G45" si="4">E45/F45</f>
        <v>0</v>
      </c>
    </row>
    <row r="46" spans="1:7" x14ac:dyDescent="0.25">
      <c r="A46" s="79"/>
      <c r="B46" s="50"/>
      <c r="C46" s="12" t="s">
        <v>49</v>
      </c>
      <c r="D46" s="8">
        <f>$D$2-5</f>
        <v>2017</v>
      </c>
      <c r="E46" s="22">
        <v>0</v>
      </c>
    </row>
    <row r="47" spans="1:7" x14ac:dyDescent="0.25">
      <c r="A47" s="80"/>
      <c r="B47" s="50"/>
      <c r="C47" s="12" t="s">
        <v>50</v>
      </c>
      <c r="D47" s="4">
        <f t="shared" ref="D47" si="5">$D$2-2</f>
        <v>2020</v>
      </c>
      <c r="E47" s="29">
        <v>0</v>
      </c>
    </row>
    <row r="48" spans="1:7" x14ac:dyDescent="0.25">
      <c r="A48" s="71" t="s">
        <v>224</v>
      </c>
      <c r="B48" s="72"/>
      <c r="C48" s="72"/>
      <c r="D48" s="72"/>
      <c r="E48" s="72"/>
      <c r="F48" s="72"/>
      <c r="G48" s="73"/>
    </row>
    <row r="49" spans="1:7" x14ac:dyDescent="0.25">
      <c r="A49" s="74" t="s">
        <v>59</v>
      </c>
      <c r="B49" s="59" t="s">
        <v>52</v>
      </c>
      <c r="C49" s="30" t="s">
        <v>53</v>
      </c>
      <c r="D49" s="31"/>
      <c r="E49" s="32">
        <f>IFERROR(IF((E56/(E50+E53)+E57/(E51+E54)+E58/(E52+E55))/3*100&lt;=5,0,IF((E56/(E50+E53)+E57/(E51+E54)+E58/(E52+E55))/3*100&gt;=100,1,((E56/(E50+E53)+E57/(E51+E54)+E58/(E52+E55))/3*100-5)/95))*F49,"")</f>
        <v>4.8529003254888314</v>
      </c>
      <c r="F49" s="32">
        <v>7</v>
      </c>
      <c r="G49" s="33">
        <f t="shared" ref="G49" si="6">E49/F49</f>
        <v>0.69327147506983311</v>
      </c>
    </row>
    <row r="50" spans="1:7" x14ac:dyDescent="0.25">
      <c r="A50" s="75"/>
      <c r="B50" s="55"/>
      <c r="C50" s="12" t="s">
        <v>54</v>
      </c>
      <c r="D50" s="8">
        <f>$D$2-5</f>
        <v>2017</v>
      </c>
      <c r="E50" s="22">
        <v>1051.2</v>
      </c>
    </row>
    <row r="51" spans="1:7" x14ac:dyDescent="0.25">
      <c r="A51" s="75"/>
      <c r="B51" s="55"/>
      <c r="C51" s="12" t="s">
        <v>54</v>
      </c>
      <c r="D51" s="8">
        <f>$D$2-4</f>
        <v>2018</v>
      </c>
      <c r="E51" s="22">
        <v>1047.5</v>
      </c>
    </row>
    <row r="52" spans="1:7" x14ac:dyDescent="0.25">
      <c r="A52" s="75"/>
      <c r="B52" s="55"/>
      <c r="C52" s="12" t="s">
        <v>54</v>
      </c>
      <c r="D52" s="8">
        <f>$D$2-3</f>
        <v>2019</v>
      </c>
      <c r="E52" s="22">
        <v>1059.5</v>
      </c>
    </row>
    <row r="53" spans="1:7" x14ac:dyDescent="0.25">
      <c r="A53" s="75"/>
      <c r="B53" s="55"/>
      <c r="C53" s="12" t="s">
        <v>55</v>
      </c>
      <c r="D53" s="8">
        <f>$D$2-5</f>
        <v>2017</v>
      </c>
      <c r="E53" s="22">
        <v>56.2</v>
      </c>
    </row>
    <row r="54" spans="1:7" x14ac:dyDescent="0.25">
      <c r="A54" s="75"/>
      <c r="B54" s="55"/>
      <c r="C54" s="12" t="s">
        <v>55</v>
      </c>
      <c r="D54" s="8">
        <f>$D$2-4</f>
        <v>2018</v>
      </c>
      <c r="E54" s="22">
        <v>54.6</v>
      </c>
    </row>
    <row r="55" spans="1:7" x14ac:dyDescent="0.25">
      <c r="A55" s="75"/>
      <c r="B55" s="55"/>
      <c r="C55" s="12" t="s">
        <v>55</v>
      </c>
      <c r="D55" s="8">
        <f>$D$2-3</f>
        <v>2019</v>
      </c>
      <c r="E55" s="22">
        <v>56.5</v>
      </c>
    </row>
    <row r="56" spans="1:7" x14ac:dyDescent="0.25">
      <c r="A56" s="75"/>
      <c r="B56" s="55"/>
      <c r="C56" s="12" t="s">
        <v>56</v>
      </c>
      <c r="D56" s="8">
        <f>$D$2-5</f>
        <v>2017</v>
      </c>
      <c r="E56" s="22">
        <v>380</v>
      </c>
    </row>
    <row r="57" spans="1:7" x14ac:dyDescent="0.25">
      <c r="A57" s="75"/>
      <c r="B57" s="55"/>
      <c r="C57" s="12" t="s">
        <v>56</v>
      </c>
      <c r="D57" s="8">
        <f>$D$2-4</f>
        <v>2018</v>
      </c>
      <c r="E57" s="22">
        <v>830</v>
      </c>
      <c r="F57" s="9"/>
    </row>
    <row r="58" spans="1:7" x14ac:dyDescent="0.25">
      <c r="A58" s="75"/>
      <c r="B58" s="55"/>
      <c r="C58" s="12" t="s">
        <v>56</v>
      </c>
      <c r="D58" s="8">
        <f>$D$2-3</f>
        <v>2019</v>
      </c>
      <c r="E58" s="22">
        <v>1149</v>
      </c>
      <c r="F58" s="9"/>
    </row>
    <row r="59" spans="1:7" x14ac:dyDescent="0.25">
      <c r="A59" s="82" t="s">
        <v>79</v>
      </c>
      <c r="B59" s="51" t="s">
        <v>58</v>
      </c>
      <c r="C59" s="13" t="s">
        <v>57</v>
      </c>
      <c r="D59" s="5"/>
      <c r="E59" s="1">
        <f>IFERROR(IF((E60/(E50+E53)+E61/(E51+E54)+E62/(E52+E55))/3&lt;=100,0,IF((E60/(E50+E53)+E61/(E51+E54)+E62/(E52+E55))/3&gt;=1000,1,((E60/(E50+E53)+E61/(E51+E54)+E62/(E52+E55))/3-100)/900))*F59," ")</f>
        <v>1.5603247670164266</v>
      </c>
      <c r="F59" s="11">
        <v>5</v>
      </c>
      <c r="G59" s="7">
        <f t="shared" ref="G59" si="7">E59/F59</f>
        <v>0.31206495340328533</v>
      </c>
    </row>
    <row r="60" spans="1:7" x14ac:dyDescent="0.25">
      <c r="A60" s="82"/>
      <c r="B60" s="52"/>
      <c r="C60" s="12" t="s">
        <v>82</v>
      </c>
      <c r="D60" s="8">
        <f>$D$2-5</f>
        <v>2017</v>
      </c>
      <c r="E60" s="22">
        <v>265431.7</v>
      </c>
      <c r="F60" s="9"/>
    </row>
    <row r="61" spans="1:7" x14ac:dyDescent="0.25">
      <c r="A61" s="82"/>
      <c r="B61" s="52"/>
      <c r="C61" s="12" t="s">
        <v>82</v>
      </c>
      <c r="D61" s="8">
        <f>$D$2-4</f>
        <v>2018</v>
      </c>
      <c r="E61" s="22">
        <v>382808.6</v>
      </c>
      <c r="F61" s="9"/>
    </row>
    <row r="62" spans="1:7" x14ac:dyDescent="0.25">
      <c r="A62" s="82"/>
      <c r="B62" s="52"/>
      <c r="C62" s="12" t="s">
        <v>82</v>
      </c>
      <c r="D62" s="8">
        <f>$D$2-3</f>
        <v>2019</v>
      </c>
      <c r="E62" s="22">
        <v>619984.4</v>
      </c>
      <c r="F62" s="9"/>
    </row>
    <row r="63" spans="1:7" x14ac:dyDescent="0.25">
      <c r="A63" s="83" t="s">
        <v>78</v>
      </c>
      <c r="B63" s="2" t="s">
        <v>61</v>
      </c>
      <c r="C63" s="13" t="s">
        <v>60</v>
      </c>
      <c r="D63" s="5"/>
      <c r="E63" s="1">
        <f>IF((E67+0.25*E68+0.1*E69)/(E64+E65*0.25+E66*0.1)*100&gt;=15,1,IF((E67+0.25*E68+0.1*E69)/(E64+E65*0.25+E66*0.1)*100&lt;=1,0,((E67+0.25*E68+0.1*E69)/(E64+E65*0.25+E66*0.1)*100-1)/14))*F63</f>
        <v>2.4528879968620299</v>
      </c>
      <c r="F63" s="11">
        <v>6</v>
      </c>
      <c r="G63" s="7">
        <f t="shared" ref="G63:G83" si="8">E63/F63</f>
        <v>0.40881466614367162</v>
      </c>
    </row>
    <row r="64" spans="1:7"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6.7346747129670161</v>
      </c>
      <c r="F70" s="11">
        <v>7</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SUM(E7,E9,E12,E15,E18,E38,E42,E45,E49,E59,E63,E70,E28,E89:E93)*(IF(1+0.5*(IFERROR((E84+E85*0.25+E86*0.1)/(E19+E22*0.25+E25*0.1),0)-0.2)/0.8&lt;1,1,1+0.5*(IFERROR((E84+E85*0.25+E86*0.1)/(E19+E22*0.25+E25*0.1),0)-0.2)/0.8))</f>
        <v>15.600787802334306</v>
      </c>
      <c r="F83">
        <v>100</v>
      </c>
      <c r="G83" s="7">
        <f t="shared" si="8"/>
        <v>0.15600787802334307</v>
      </c>
    </row>
    <row r="84" spans="1:7" x14ac:dyDescent="0.25">
      <c r="A84" s="85"/>
      <c r="B84" s="54"/>
      <c r="C84" s="12" t="s">
        <v>72</v>
      </c>
      <c r="D84" s="4">
        <f t="shared" ref="D84:D86" si="10">$D$2-2</f>
        <v>2020</v>
      </c>
      <c r="E84" s="22">
        <v>0</v>
      </c>
      <c r="G84" s="7"/>
    </row>
    <row r="85" spans="1:7" x14ac:dyDescent="0.25">
      <c r="A85" s="85"/>
      <c r="B85" s="54"/>
      <c r="C85" s="12" t="s">
        <v>73</v>
      </c>
      <c r="D85" s="4">
        <f t="shared" si="10"/>
        <v>2020</v>
      </c>
      <c r="E85" s="22">
        <v>0</v>
      </c>
      <c r="G85" s="7"/>
    </row>
    <row r="86" spans="1:7" x14ac:dyDescent="0.25">
      <c r="A86" s="85"/>
      <c r="B86" s="54"/>
      <c r="C86" s="12" t="s">
        <v>74</v>
      </c>
      <c r="D86" s="4">
        <f t="shared" si="10"/>
        <v>2020</v>
      </c>
      <c r="E86" s="22">
        <v>0</v>
      </c>
      <c r="G86" s="7"/>
    </row>
    <row r="87" spans="1:7" x14ac:dyDescent="0.25">
      <c r="C87" s="12"/>
      <c r="D87" s="4"/>
      <c r="G87" s="7"/>
    </row>
    <row r="88" spans="1:7" x14ac:dyDescent="0.25">
      <c r="A88" s="9"/>
      <c r="B88" s="11"/>
      <c r="C88" s="86"/>
      <c r="D88" s="86"/>
      <c r="E88" s="86"/>
      <c r="F88" s="11"/>
      <c r="G88" s="7"/>
    </row>
    <row r="89" spans="1:7" x14ac:dyDescent="0.25">
      <c r="A89" s="9"/>
      <c r="B89" s="9"/>
      <c r="C89" s="64"/>
      <c r="D89" s="27"/>
      <c r="E89" s="24"/>
      <c r="F89" s="23"/>
      <c r="G89" s="7"/>
    </row>
  </sheetData>
  <mergeCells count="18">
    <mergeCell ref="A28:A32"/>
    <mergeCell ref="A33:A37"/>
    <mergeCell ref="A38:A41"/>
    <mergeCell ref="A42:A44"/>
    <mergeCell ref="A7:A8"/>
    <mergeCell ref="A9:A11"/>
    <mergeCell ref="A12:A14"/>
    <mergeCell ref="A15:A17"/>
    <mergeCell ref="A18:A27"/>
    <mergeCell ref="A70:A82"/>
    <mergeCell ref="A83:A86"/>
    <mergeCell ref="C88:E88"/>
    <mergeCell ref="B42:B44"/>
    <mergeCell ref="A45:A47"/>
    <mergeCell ref="A48:G48"/>
    <mergeCell ref="A49:A58"/>
    <mergeCell ref="A59:A62"/>
    <mergeCell ref="A63:A69"/>
  </mergeCells>
  <conditionalFormatting sqref="G2:G47 G49:G89">
    <cfRule type="iconSet" priority="1">
      <iconSet>
        <cfvo type="percent" val="0"/>
        <cfvo type="percent" val="33"/>
        <cfvo type="percent" val="67"/>
      </iconSet>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tabColor rgb="FF92D050"/>
  </sheetPr>
  <dimension ref="A2:H97"/>
  <sheetViews>
    <sheetView workbookViewId="0">
      <selection activeCell="C24" sqref="C24"/>
    </sheetView>
  </sheetViews>
  <sheetFormatPr defaultRowHeight="15" x14ac:dyDescent="0.25"/>
  <cols>
    <col min="1" max="1" width="55" customWidth="1"/>
    <col min="2" max="2" width="12.5703125" customWidth="1"/>
    <col min="3" max="3" width="83.140625" style="12" customWidth="1"/>
    <col min="4" max="4" width="49.140625" style="4" customWidth="1"/>
    <col min="5" max="5" width="11.42578125" customWidth="1"/>
    <col min="6" max="6" width="20" customWidth="1"/>
    <col min="7" max="7" width="16" customWidth="1"/>
    <col min="8" max="8" width="37.42578125" customWidth="1"/>
  </cols>
  <sheetData>
    <row r="2" spans="1:7" x14ac:dyDescent="0.25">
      <c r="A2" s="1" t="s">
        <v>80</v>
      </c>
      <c r="C2" s="12" t="s">
        <v>24</v>
      </c>
      <c r="D2" s="43">
        <v>2022</v>
      </c>
    </row>
    <row r="3" spans="1:7" x14ac:dyDescent="0.25">
      <c r="A3" t="s">
        <v>81</v>
      </c>
      <c r="C3" s="12" t="s">
        <v>191</v>
      </c>
      <c r="D3" s="58" t="s">
        <v>184</v>
      </c>
      <c r="E3" s="57" t="s">
        <v>220</v>
      </c>
    </row>
    <row r="4" spans="1:7" x14ac:dyDescent="0.25">
      <c r="C4" s="12" t="s">
        <v>75</v>
      </c>
      <c r="D4" s="10">
        <f>E83</f>
        <v>68.177012308131367</v>
      </c>
    </row>
    <row r="6" spans="1:7" x14ac:dyDescent="0.25">
      <c r="A6" t="s">
        <v>7</v>
      </c>
      <c r="C6" s="12" t="s">
        <v>25</v>
      </c>
      <c r="D6" s="4" t="s">
        <v>21</v>
      </c>
      <c r="F6" t="s">
        <v>20</v>
      </c>
      <c r="G6" t="s">
        <v>42</v>
      </c>
    </row>
    <row r="7" spans="1:7" x14ac:dyDescent="0.25">
      <c r="A7" s="79" t="s">
        <v>9</v>
      </c>
      <c r="B7" s="49" t="s">
        <v>0</v>
      </c>
      <c r="C7" s="13" t="s">
        <v>1</v>
      </c>
      <c r="D7" s="5"/>
      <c r="E7" s="1">
        <f>IF(E8&gt;=100,1,IF(E8&lt;=40,0,(E8-40)/60))*F7</f>
        <v>14.171833333333332</v>
      </c>
      <c r="F7" s="2">
        <v>23</v>
      </c>
      <c r="G7" s="7">
        <f>E7/F7</f>
        <v>0.61616666666666664</v>
      </c>
    </row>
    <row r="8" spans="1:7" x14ac:dyDescent="0.25">
      <c r="A8" s="79"/>
      <c r="B8" s="50"/>
      <c r="C8" s="12" t="s">
        <v>4</v>
      </c>
      <c r="D8" s="4">
        <f>$D$2-2</f>
        <v>2020</v>
      </c>
      <c r="E8" s="22">
        <v>76.97</v>
      </c>
      <c r="G8" s="7"/>
    </row>
    <row r="9" spans="1:7" x14ac:dyDescent="0.25">
      <c r="A9" s="81" t="s">
        <v>10</v>
      </c>
      <c r="B9" s="47" t="s">
        <v>3</v>
      </c>
      <c r="C9" s="13" t="s">
        <v>2</v>
      </c>
      <c r="D9" s="5"/>
      <c r="E9" s="1">
        <f>IFERROR(IF(E10/E11*100&gt;=100,1,IF(E10/E11*100&lt;=80,0,((E10/E11*100)-80)/20))*F9," ")</f>
        <v>3</v>
      </c>
      <c r="F9" s="46">
        <v>3</v>
      </c>
      <c r="G9" s="7">
        <f t="shared" ref="G9:G38" si="0">E9/F9</f>
        <v>1</v>
      </c>
    </row>
    <row r="10" spans="1:7" x14ac:dyDescent="0.25">
      <c r="A10" s="81"/>
      <c r="B10" s="48"/>
      <c r="C10" s="12" t="s">
        <v>23</v>
      </c>
      <c r="D10" s="4" t="str">
        <f>$D$2-2&amp;" "&amp;$D$2-3&amp;" "&amp;$D$2-4</f>
        <v>2020 2019 2018</v>
      </c>
      <c r="E10" s="22">
        <v>5719</v>
      </c>
      <c r="G10" s="7"/>
    </row>
    <row r="11" spans="1:7" x14ac:dyDescent="0.25">
      <c r="A11" s="81"/>
      <c r="B11" s="48"/>
      <c r="C11" s="12" t="s">
        <v>22</v>
      </c>
      <c r="D11" s="4" t="str">
        <f>$D$2-2&amp;" "&amp;$D$2-3&amp;" "&amp;$D$2-4</f>
        <v>2020 2019 2018</v>
      </c>
      <c r="E11" s="22">
        <v>5719</v>
      </c>
      <c r="G11" s="7"/>
    </row>
    <row r="12" spans="1:7" x14ac:dyDescent="0.25">
      <c r="A12" s="79" t="s">
        <v>8</v>
      </c>
      <c r="B12" s="49" t="s">
        <v>6</v>
      </c>
      <c r="C12" s="13" t="s">
        <v>5</v>
      </c>
      <c r="D12" s="5"/>
      <c r="E12" s="1">
        <f>IF(E14/E13&gt;=0.5,1,IF(E14/E13&lt;=0,0,(E14/E13/0.5)))*F12</f>
        <v>0.33488372093023255</v>
      </c>
      <c r="F12" s="46">
        <v>4</v>
      </c>
      <c r="G12" s="7">
        <f t="shared" si="0"/>
        <v>8.3720930232558138E-2</v>
      </c>
    </row>
    <row r="13" spans="1:7" x14ac:dyDescent="0.25">
      <c r="A13" s="79"/>
      <c r="B13" s="50"/>
      <c r="C13" s="12" t="s">
        <v>11</v>
      </c>
      <c r="D13" s="4">
        <f>$D$2-2</f>
        <v>2020</v>
      </c>
      <c r="E13" s="22">
        <v>3010</v>
      </c>
      <c r="G13" s="7"/>
    </row>
    <row r="14" spans="1:7" x14ac:dyDescent="0.25">
      <c r="A14" s="79"/>
      <c r="B14" s="50"/>
      <c r="C14" s="12" t="s">
        <v>12</v>
      </c>
      <c r="D14" s="4">
        <f>$D$2-2</f>
        <v>2020</v>
      </c>
      <c r="E14" s="22">
        <v>126</v>
      </c>
      <c r="G14" s="7"/>
    </row>
    <row r="15" spans="1:7" x14ac:dyDescent="0.25">
      <c r="A15" s="81" t="s">
        <v>17</v>
      </c>
      <c r="B15" s="47" t="s">
        <v>13</v>
      </c>
      <c r="C15" s="13" t="s">
        <v>14</v>
      </c>
      <c r="D15" s="5"/>
      <c r="E15" s="1">
        <f>IF(E16/E17&gt;=1,1,IF(E16/E17&lt;=0,0,(E16/E17)))*F15</f>
        <v>2</v>
      </c>
      <c r="F15" s="46">
        <v>2</v>
      </c>
      <c r="G15" s="7">
        <f t="shared" si="0"/>
        <v>1</v>
      </c>
    </row>
    <row r="16" spans="1:7" x14ac:dyDescent="0.25">
      <c r="A16" s="81"/>
      <c r="B16" s="48"/>
      <c r="C16" s="12" t="s">
        <v>15</v>
      </c>
      <c r="D16" s="4">
        <f>$D$2-2</f>
        <v>2020</v>
      </c>
      <c r="E16" s="22">
        <v>1</v>
      </c>
      <c r="G16" s="7"/>
    </row>
    <row r="17" spans="1:7" x14ac:dyDescent="0.25">
      <c r="A17" s="81"/>
      <c r="B17" s="48"/>
      <c r="C17" s="12" t="s">
        <v>16</v>
      </c>
      <c r="D17" s="4">
        <f>$D$2-2</f>
        <v>2020</v>
      </c>
      <c r="E17" s="22">
        <v>1</v>
      </c>
      <c r="G17" s="7"/>
    </row>
    <row r="18" spans="1:7" x14ac:dyDescent="0.25">
      <c r="A18" s="79" t="s">
        <v>217</v>
      </c>
      <c r="B18" s="49" t="s">
        <v>19</v>
      </c>
      <c r="C18" s="13" t="s">
        <v>18</v>
      </c>
      <c r="D18" s="5"/>
      <c r="E18" s="1">
        <f>IF(IF(E19+E22*0.25+E25*0.1&lt;=0,0,(((E20+0.25*E23+0.1*E26)+3*(E21+0.25*E24+0.1*E27))/(E19+E22*0.25+E25*0.1)))&gt;=0.25,1,IF(IF(E19+E22*0.25+E25*0.1&lt;=0,1,(((E20+0.25*E23+0.1*E26)+3*(E21+0.25*E24+0.1*E27))/(E19+E22*0.25+E25*0.1)))&lt;=0,0,IF(E19+E22*0.25+E25*0.1&lt;=0,1,(((E20+0.25*E23+0.1*E26)+3*(E21+0.25*E24+0.1*E27))/(E19+E22*0.25+E25*0.1))/0.25)))*F18</f>
        <v>6</v>
      </c>
      <c r="F18" s="11">
        <f>IF(OR(D3=Главная!AA14,D3=Главная!AA15,D3=Главная!AA17,D3=Главная!AA18,D3=Главная!AA21),6,9)</f>
        <v>6</v>
      </c>
      <c r="G18" s="7">
        <f t="shared" si="0"/>
        <v>1</v>
      </c>
    </row>
    <row r="19" spans="1:7" x14ac:dyDescent="0.25">
      <c r="A19" s="79"/>
      <c r="B19" s="50"/>
      <c r="C19" s="12" t="s">
        <v>26</v>
      </c>
      <c r="D19" s="4">
        <f t="shared" ref="D19:D41" si="1">$D$2-2</f>
        <v>2020</v>
      </c>
      <c r="E19" s="22">
        <v>9365</v>
      </c>
      <c r="G19" s="7"/>
    </row>
    <row r="20" spans="1:7" x14ac:dyDescent="0.25">
      <c r="A20" s="79"/>
      <c r="B20" s="50"/>
      <c r="C20" s="12" t="s">
        <v>27</v>
      </c>
      <c r="D20" s="4">
        <f t="shared" si="1"/>
        <v>2020</v>
      </c>
      <c r="E20" s="22">
        <v>1665</v>
      </c>
      <c r="G20" s="7"/>
    </row>
    <row r="21" spans="1:7" x14ac:dyDescent="0.25">
      <c r="A21" s="79"/>
      <c r="B21" s="50"/>
      <c r="C21" s="12" t="s">
        <v>28</v>
      </c>
      <c r="D21" s="4">
        <f t="shared" si="1"/>
        <v>2020</v>
      </c>
      <c r="E21" s="22">
        <v>340</v>
      </c>
      <c r="G21" s="7"/>
    </row>
    <row r="22" spans="1:7" x14ac:dyDescent="0.25">
      <c r="A22" s="79"/>
      <c r="B22" s="50"/>
      <c r="C22" s="12" t="s">
        <v>29</v>
      </c>
      <c r="D22" s="4">
        <f t="shared" si="1"/>
        <v>2020</v>
      </c>
      <c r="E22" s="22">
        <v>521</v>
      </c>
      <c r="G22" s="7"/>
    </row>
    <row r="23" spans="1:7" x14ac:dyDescent="0.25">
      <c r="A23" s="79"/>
      <c r="B23" s="50"/>
      <c r="C23" s="12" t="s">
        <v>30</v>
      </c>
      <c r="D23" s="4">
        <f t="shared" si="1"/>
        <v>2020</v>
      </c>
      <c r="E23" s="22">
        <v>537</v>
      </c>
      <c r="G23" s="7"/>
    </row>
    <row r="24" spans="1:7" x14ac:dyDescent="0.25">
      <c r="A24" s="79"/>
      <c r="B24" s="50"/>
      <c r="C24" s="12" t="s">
        <v>31</v>
      </c>
      <c r="D24" s="4">
        <f t="shared" si="1"/>
        <v>2020</v>
      </c>
      <c r="E24" s="22">
        <v>27</v>
      </c>
      <c r="G24" s="7"/>
    </row>
    <row r="25" spans="1:7" x14ac:dyDescent="0.25">
      <c r="A25" s="79"/>
      <c r="B25" s="50"/>
      <c r="C25" s="12" t="s">
        <v>32</v>
      </c>
      <c r="D25" s="4">
        <f t="shared" si="1"/>
        <v>2020</v>
      </c>
      <c r="E25" s="22">
        <v>3444</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0</v>
      </c>
      <c r="G27" s="7"/>
    </row>
    <row r="28" spans="1:7" x14ac:dyDescent="0.25">
      <c r="A28" s="77" t="s">
        <v>143</v>
      </c>
      <c r="B28" s="47" t="s">
        <v>85</v>
      </c>
      <c r="C28" s="13" t="s">
        <v>84</v>
      </c>
      <c r="E28" s="11">
        <f>IFERROR(IF(IF(AND(E35+0.25*E36+0.1*E37=0,0.25*(E29+0.25*E30+0.1*E31)+(E32+0.25*E33+0.1*E34)&gt;0),1,(0.25*(E29+0.25*E30+0.1*E31)+(E32+0.25*E33+0.1*E34))/(E35+0.25*E36+0.1*E37))&gt;=0.2,1,IF(IF(E35+0.25*E36+0.1*E37=0,1,(0.25*(E29+0.25*E30+0.1*E31)+(E32+0.25*E33+0.1*E34))/(E35+0.25*E36+0.1*E37))&lt;=0,0,IF(E35+0.25*E36+0.1*E37=0,1,(0.25*(E29+0.25*E30+0.1*E31)+(E32+0.25*E33+0.1*E34))/(E35+0.25*E36+0.1*E37)/0.2)))*F28," ")</f>
        <v>0.86106719707188828</v>
      </c>
      <c r="F28" s="1">
        <f>IF(OR(D3=Главная!AA14,D3=Главная!AA15,D3=Главная!AA17,D3=Главная!AA18,D3=Главная!AA21),6,0)</f>
        <v>6</v>
      </c>
      <c r="G28" s="7">
        <f t="shared" si="0"/>
        <v>0.14351119951198138</v>
      </c>
    </row>
    <row r="29" spans="1:7" x14ac:dyDescent="0.25">
      <c r="A29" s="77"/>
      <c r="B29" s="48"/>
      <c r="C29" s="12" t="s">
        <v>86</v>
      </c>
      <c r="D29" s="14">
        <f>$D$2-3</f>
        <v>2019</v>
      </c>
      <c r="E29" s="22">
        <v>366</v>
      </c>
      <c r="G29" s="7"/>
    </row>
    <row r="30" spans="1:7" x14ac:dyDescent="0.25">
      <c r="A30" s="77"/>
      <c r="B30" s="48"/>
      <c r="C30" s="12" t="s">
        <v>87</v>
      </c>
      <c r="D30" s="14">
        <f t="shared" ref="D30:D34" si="2">$D$2-3</f>
        <v>2019</v>
      </c>
      <c r="E30" s="22">
        <v>9</v>
      </c>
      <c r="G30" s="7"/>
    </row>
    <row r="31" spans="1:7" x14ac:dyDescent="0.25">
      <c r="A31" s="77"/>
      <c r="B31" s="48"/>
      <c r="C31" s="12" t="s">
        <v>88</v>
      </c>
      <c r="D31" s="14">
        <f t="shared" si="2"/>
        <v>2019</v>
      </c>
      <c r="E31" s="22">
        <v>8880</v>
      </c>
      <c r="G31" s="7"/>
    </row>
    <row r="32" spans="1:7" ht="39.75" customHeight="1" x14ac:dyDescent="0.25">
      <c r="A32" s="77"/>
      <c r="B32" s="48"/>
      <c r="C32" s="12" t="s">
        <v>89</v>
      </c>
      <c r="D32" s="14">
        <f t="shared" si="2"/>
        <v>2019</v>
      </c>
      <c r="E32" s="22">
        <v>0</v>
      </c>
      <c r="G32" s="7"/>
    </row>
    <row r="33" spans="1:7" x14ac:dyDescent="0.25">
      <c r="A33" s="77" t="s">
        <v>142</v>
      </c>
      <c r="B33" s="48"/>
      <c r="C33" s="12" t="s">
        <v>90</v>
      </c>
      <c r="D33" s="14">
        <f t="shared" si="2"/>
        <v>2019</v>
      </c>
      <c r="E33" s="22">
        <v>80</v>
      </c>
      <c r="G33" s="7"/>
    </row>
    <row r="34" spans="1:7" x14ac:dyDescent="0.25">
      <c r="A34" s="77"/>
      <c r="B34" s="48"/>
      <c r="C34" s="12" t="s">
        <v>91</v>
      </c>
      <c r="D34" s="14">
        <f t="shared" si="2"/>
        <v>2019</v>
      </c>
      <c r="E34" s="22">
        <v>0</v>
      </c>
      <c r="G34" s="7"/>
    </row>
    <row r="35" spans="1:7" x14ac:dyDescent="0.25">
      <c r="A35" s="77"/>
      <c r="B35" s="48"/>
      <c r="C35" s="12" t="s">
        <v>92</v>
      </c>
      <c r="D35" s="4">
        <f t="shared" ref="D35:D37" si="3">$D$2-2</f>
        <v>2020</v>
      </c>
      <c r="E35" s="22">
        <f>E19+E20</f>
        <v>11030</v>
      </c>
      <c r="G35" s="7"/>
    </row>
    <row r="36" spans="1:7" x14ac:dyDescent="0.25">
      <c r="A36" s="77"/>
      <c r="B36" s="48"/>
      <c r="C36" s="12" t="s">
        <v>93</v>
      </c>
      <c r="D36" s="4">
        <f t="shared" si="3"/>
        <v>2020</v>
      </c>
      <c r="E36" s="22">
        <f>E22+E23</f>
        <v>1058</v>
      </c>
      <c r="G36" s="7"/>
    </row>
    <row r="37" spans="1:7" x14ac:dyDescent="0.25">
      <c r="A37" s="77"/>
      <c r="B37" s="48"/>
      <c r="C37" s="12" t="s">
        <v>94</v>
      </c>
      <c r="D37" s="4">
        <f t="shared" si="3"/>
        <v>2020</v>
      </c>
      <c r="E37" s="22">
        <f>E25+E26</f>
        <v>3444</v>
      </c>
      <c r="G37" s="7"/>
    </row>
    <row r="38" spans="1:7" x14ac:dyDescent="0.25">
      <c r="A38" s="78" t="s">
        <v>41</v>
      </c>
      <c r="B38" s="49" t="s">
        <v>36</v>
      </c>
      <c r="C38" s="13" t="s">
        <v>37</v>
      </c>
      <c r="D38" s="5"/>
      <c r="E38" s="1">
        <f>IF(((E39+E40*0.25+E41*0.1)/(E19+E22*0.25+E25*0.1))&gt;=0.5,1,IF((E39+E40*0.25+E41*0.1)/(E19+E22*0.25+E25*0.1)&lt;=0,0,((E39+E40*0.25+E41*0.1)/(E19+E22*0.25+E25*0.1)/0.5)))*F38</f>
        <v>0.43721067314386186</v>
      </c>
      <c r="F38" s="11">
        <f>IF(OR(D3=Главная!AA14,D3=Главная!AA15,D3=Главная!AA17,D3=Главная!AA18,D3=Главная!AA21),6,9)</f>
        <v>6</v>
      </c>
      <c r="G38" s="7">
        <f t="shared" si="0"/>
        <v>7.2868445523976977E-2</v>
      </c>
    </row>
    <row r="39" spans="1:7" x14ac:dyDescent="0.25">
      <c r="A39" s="78"/>
      <c r="B39" s="50"/>
      <c r="C39" s="12" t="s">
        <v>38</v>
      </c>
      <c r="D39" s="4">
        <f t="shared" si="1"/>
        <v>2020</v>
      </c>
      <c r="E39" s="22">
        <v>357</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15</v>
      </c>
      <c r="G41" s="7"/>
    </row>
    <row r="42" spans="1:7" ht="15" customHeight="1" x14ac:dyDescent="0.25">
      <c r="A42" s="77" t="s">
        <v>145</v>
      </c>
      <c r="B42" s="76" t="s">
        <v>44</v>
      </c>
      <c r="C42" s="13" t="s">
        <v>43</v>
      </c>
      <c r="D42" s="5"/>
      <c r="E42" s="1" t="str">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f>
        <v/>
      </c>
      <c r="F42" s="2">
        <v>25</v>
      </c>
      <c r="G42" s="7" t="e">
        <f>E42/F42</f>
        <v>#VALUE!</v>
      </c>
    </row>
    <row r="43" spans="1:7" x14ac:dyDescent="0.25">
      <c r="A43" s="77"/>
      <c r="B43" s="76" t="s">
        <v>218</v>
      </c>
      <c r="C43" s="12" t="s">
        <v>46</v>
      </c>
      <c r="D43" s="4" t="str">
        <f>$D$2-4&amp;" "&amp;$D$2-5&amp;" "&amp;$D$2-6</f>
        <v>2018 2017 2016</v>
      </c>
      <c r="E43" s="22"/>
    </row>
    <row r="44" spans="1:7" x14ac:dyDescent="0.25">
      <c r="A44" s="77"/>
      <c r="B44" s="76"/>
      <c r="C44" s="12" t="s">
        <v>45</v>
      </c>
      <c r="D44" s="4" t="str">
        <f>$D$2-3&amp;" "&amp;$D$2-4&amp;" "&amp;$D$2-5</f>
        <v>2019 2018 2017</v>
      </c>
      <c r="E44" s="22"/>
    </row>
    <row r="45" spans="1:7" x14ac:dyDescent="0.25">
      <c r="A45" s="79" t="s">
        <v>219</v>
      </c>
      <c r="B45" s="49" t="s">
        <v>48</v>
      </c>
      <c r="C45" s="13" t="s">
        <v>47</v>
      </c>
      <c r="D45" s="5"/>
      <c r="E45" s="1">
        <f>IFERROR(IF(E47/E46*100&lt;=30,0,IF(E47/E46*100&gt;=60,1,(E47/E46*100-30)/30))*F45," ")</f>
        <v>5</v>
      </c>
      <c r="F45" s="46">
        <v>5</v>
      </c>
      <c r="G45" s="7">
        <f t="shared" ref="G45" si="4">E45/F45</f>
        <v>1</v>
      </c>
    </row>
    <row r="46" spans="1:7" x14ac:dyDescent="0.25">
      <c r="A46" s="79"/>
      <c r="B46" s="50"/>
      <c r="C46" s="12" t="s">
        <v>49</v>
      </c>
      <c r="D46" s="8">
        <f>$D$2-5</f>
        <v>2017</v>
      </c>
      <c r="E46" s="22">
        <v>2129</v>
      </c>
    </row>
    <row r="47" spans="1:7" x14ac:dyDescent="0.25">
      <c r="A47" s="80"/>
      <c r="B47" s="50"/>
      <c r="C47" s="12" t="s">
        <v>50</v>
      </c>
      <c r="D47" s="4">
        <f t="shared" ref="D47" si="5">$D$2-2</f>
        <v>2020</v>
      </c>
      <c r="E47" s="29">
        <v>1692</v>
      </c>
    </row>
    <row r="48" spans="1:7" s="56" customFormat="1" ht="15" customHeight="1" x14ac:dyDescent="0.25">
      <c r="A48" s="71" t="s">
        <v>224</v>
      </c>
      <c r="B48" s="72"/>
      <c r="C48" s="72"/>
      <c r="D48" s="72"/>
      <c r="E48" s="72"/>
      <c r="F48" s="72"/>
      <c r="G48" s="73"/>
    </row>
    <row r="49" spans="1:8" ht="15" customHeight="1" x14ac:dyDescent="0.25">
      <c r="A49" s="74" t="s">
        <v>59</v>
      </c>
      <c r="B49" s="59" t="s">
        <v>52</v>
      </c>
      <c r="C49" s="30" t="s">
        <v>53</v>
      </c>
      <c r="D49" s="31"/>
      <c r="E49" s="32">
        <f>IFERROR(IF((E56/(E50+E53)+E57/(E51+E54)+E58/(E52+E55))/3*100&lt;=5,0,IF((E56/(E50+E53)+E57/(E51+E54)+E58/(E52+E55))/3*100&gt;=100,1,((E56/(E50+E53)+E57/(E51+E54)+E58/(E52+E55))/3*100-5)/95))*F49,"")</f>
        <v>0</v>
      </c>
      <c r="F49" s="32">
        <f>IF(OR(Главная!AA13=D3,Главная!AA14=D3,Главная!AA15=D3,Главная!AA16=D3,Главная!AA23=D3),5,0)</f>
        <v>0</v>
      </c>
      <c r="G49" s="33" t="e">
        <f t="shared" ref="G49" si="6">E49/F49</f>
        <v>#DIV/0!</v>
      </c>
      <c r="H49" s="34"/>
    </row>
    <row r="50" spans="1:8" x14ac:dyDescent="0.25">
      <c r="A50" s="75"/>
      <c r="B50" s="55"/>
      <c r="C50" s="12" t="s">
        <v>54</v>
      </c>
      <c r="D50" s="8">
        <f>$D$2-5</f>
        <v>2017</v>
      </c>
      <c r="E50" s="22">
        <v>1051.2</v>
      </c>
    </row>
    <row r="51" spans="1:8" x14ac:dyDescent="0.25">
      <c r="A51" s="75"/>
      <c r="B51" s="55"/>
      <c r="C51" s="12" t="s">
        <v>54</v>
      </c>
      <c r="D51" s="8">
        <f>$D$2-4</f>
        <v>2018</v>
      </c>
      <c r="E51" s="22">
        <v>1047.5</v>
      </c>
    </row>
    <row r="52" spans="1:8" x14ac:dyDescent="0.25">
      <c r="A52" s="75"/>
      <c r="B52" s="55"/>
      <c r="C52" s="12" t="s">
        <v>54</v>
      </c>
      <c r="D52" s="8">
        <f>$D$2-3</f>
        <v>2019</v>
      </c>
      <c r="E52" s="22">
        <v>1059.5</v>
      </c>
    </row>
    <row r="53" spans="1:8" x14ac:dyDescent="0.25">
      <c r="A53" s="75"/>
      <c r="B53" s="55"/>
      <c r="C53" s="12" t="s">
        <v>55</v>
      </c>
      <c r="D53" s="8">
        <f>$D$2-5</f>
        <v>2017</v>
      </c>
      <c r="E53" s="22">
        <v>56.2</v>
      </c>
    </row>
    <row r="54" spans="1:8" x14ac:dyDescent="0.25">
      <c r="A54" s="75"/>
      <c r="B54" s="55"/>
      <c r="C54" s="12" t="s">
        <v>55</v>
      </c>
      <c r="D54" s="8">
        <f>$D$2-4</f>
        <v>2018</v>
      </c>
      <c r="E54" s="22">
        <v>54.6</v>
      </c>
    </row>
    <row r="55" spans="1:8" x14ac:dyDescent="0.25">
      <c r="A55" s="75"/>
      <c r="B55" s="55"/>
      <c r="C55" s="12" t="s">
        <v>55</v>
      </c>
      <c r="D55" s="8">
        <f>$D$2-3</f>
        <v>2019</v>
      </c>
      <c r="E55" s="22">
        <v>56.5</v>
      </c>
    </row>
    <row r="56" spans="1:8" x14ac:dyDescent="0.25">
      <c r="A56" s="75"/>
      <c r="B56" s="55"/>
      <c r="C56" s="12" t="s">
        <v>56</v>
      </c>
      <c r="D56" s="8">
        <f>$D$2-5</f>
        <v>2017</v>
      </c>
      <c r="E56" s="22">
        <v>380</v>
      </c>
    </row>
    <row r="57" spans="1:8" x14ac:dyDescent="0.25">
      <c r="A57" s="75"/>
      <c r="B57" s="55"/>
      <c r="C57" s="12" t="s">
        <v>56</v>
      </c>
      <c r="D57" s="8">
        <f>$D$2-4</f>
        <v>2018</v>
      </c>
      <c r="E57" s="22">
        <v>830</v>
      </c>
      <c r="F57" s="9"/>
    </row>
    <row r="58" spans="1:8" x14ac:dyDescent="0.25">
      <c r="A58" s="75"/>
      <c r="B58" s="55"/>
      <c r="C58" s="12" t="s">
        <v>56</v>
      </c>
      <c r="D58" s="8">
        <f>$D$2-3</f>
        <v>2019</v>
      </c>
      <c r="E58" s="22">
        <v>1149</v>
      </c>
      <c r="F58" s="9"/>
    </row>
    <row r="59" spans="1:8" x14ac:dyDescent="0.25">
      <c r="A59" s="82" t="s">
        <v>79</v>
      </c>
      <c r="B59" s="51" t="s">
        <v>58</v>
      </c>
      <c r="C59" s="13" t="s">
        <v>57</v>
      </c>
      <c r="D59" s="5"/>
      <c r="E59" s="1">
        <f>IFERROR(IF((E60/(E50+E53)+E61/(E51+E54)+E62/(E52+E55))/3&lt;=100,0,IF((E60/(E50+E53)+E61/(E51+E54)+E62/(E52+E55))/3&gt;=1000,1,((E60/(E50+E53)+E61/(E51+E54)+E62/(E52+E55))/3-100)/900))*F59," ")</f>
        <v>2.1844546738229971</v>
      </c>
      <c r="F59" s="11">
        <f>IF(OR(Главная!AA17=D3,Главная!AA20=D3),7,IF(OR(Главная!AA13=D3,Главная!AA14=D3,Главная!AA15=D3,Главная!AA16=D3,Главная!AA23=D3),5,0))</f>
        <v>7</v>
      </c>
      <c r="G59" s="7">
        <f t="shared" ref="G59" si="7">E59/F59</f>
        <v>0.31206495340328527</v>
      </c>
    </row>
    <row r="60" spans="1:8" x14ac:dyDescent="0.25">
      <c r="A60" s="82"/>
      <c r="B60" s="52"/>
      <c r="C60" s="12" t="s">
        <v>82</v>
      </c>
      <c r="D60" s="8">
        <f>$D$2-5</f>
        <v>2017</v>
      </c>
      <c r="E60" s="22">
        <v>265431.7</v>
      </c>
      <c r="F60" s="9"/>
    </row>
    <row r="61" spans="1:8" x14ac:dyDescent="0.25">
      <c r="A61" s="82"/>
      <c r="B61" s="52"/>
      <c r="C61" s="12" t="s">
        <v>82</v>
      </c>
      <c r="D61" s="8">
        <f>$D$2-4</f>
        <v>2018</v>
      </c>
      <c r="E61" s="22">
        <v>382808.6</v>
      </c>
      <c r="F61" s="9"/>
    </row>
    <row r="62" spans="1:8" x14ac:dyDescent="0.25">
      <c r="A62" s="82"/>
      <c r="B62" s="52"/>
      <c r="C62" s="12" t="s">
        <v>82</v>
      </c>
      <c r="D62" s="8">
        <f>$D$2-3</f>
        <v>2019</v>
      </c>
      <c r="E62" s="22">
        <v>619984.4</v>
      </c>
      <c r="F62" s="9"/>
    </row>
    <row r="63" spans="1:8" x14ac:dyDescent="0.25">
      <c r="A63" s="83" t="s">
        <v>78</v>
      </c>
      <c r="B63" s="2" t="s">
        <v>61</v>
      </c>
      <c r="C63" s="13" t="s">
        <v>60</v>
      </c>
      <c r="D63" s="5"/>
      <c r="E63" s="1">
        <f>IF((E67+0.25*E68+0.1*E69)/(E64+E65*0.25+E66*0.1)*100&gt;=15,1,IF((E67+0.25*E68+0.1*E69)/(E64+E65*0.25+E66*0.1)*100&lt;=1,0,((E67+0.25*E68+0.1*E69)/(E64+E65*0.25+E66*0.1)*100-1)/14))*F63</f>
        <v>2.4528879968620299</v>
      </c>
      <c r="F63" s="11">
        <f>IF(OR(Главная!AA17=D3,Главная!AA20=D3,Главная!AA18=D3),6,IF(OR(Главная!AA13=D3,Главная!AA14=D3,Главная!AA15=D3,Главная!AA16=D3,Главная!AA23=D3),5,10))</f>
        <v>6</v>
      </c>
      <c r="G63" s="7">
        <f t="shared" ref="G63:G93" si="8">E63/F63</f>
        <v>0.40881466614367162</v>
      </c>
    </row>
    <row r="64" spans="1:8"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6.7346747129670161</v>
      </c>
      <c r="F70" s="11">
        <f>IF(OR(Главная!AA17=D3,Главная!AA20=D3,Главная!AA18=D3),7,IF(OR(Главная!AA13=D3,Главная!AA14=D3,Главная!AA15=D3,Главная!AA16=D3,Главная!AA23=D3),5,10))</f>
        <v>7</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SUM(E7,E9,E12,E15,E18,E38,E42,E45,E49,E59,E63,E70,E28,E89:E93)*(IF(1+0.5*((E84+E85*0.25+E86*0.1)/(E19+E22*0.25+E25*0.1)-0.2)/0.8&lt;1,1,1+0.5*((E84+E85*0.25+E86*0.1)/(E19+E22*0.25+E25*0.1)-0.2)/0.8))</f>
        <v>68.177012308131367</v>
      </c>
      <c r="F83">
        <v>100</v>
      </c>
      <c r="G83" s="7">
        <f t="shared" si="8"/>
        <v>0.68177012308131368</v>
      </c>
    </row>
    <row r="84" spans="1:7" x14ac:dyDescent="0.25">
      <c r="A84" s="85"/>
      <c r="B84" s="54"/>
      <c r="C84" s="12" t="s">
        <v>72</v>
      </c>
      <c r="D84" s="4">
        <f t="shared" ref="D84:D86" si="10">$D$2-2</f>
        <v>2020</v>
      </c>
      <c r="E84" s="22">
        <v>139</v>
      </c>
      <c r="G84" s="7"/>
    </row>
    <row r="85" spans="1:7" x14ac:dyDescent="0.25">
      <c r="A85" s="85"/>
      <c r="B85" s="54"/>
      <c r="C85" s="12" t="s">
        <v>73</v>
      </c>
      <c r="D85" s="4">
        <f t="shared" si="10"/>
        <v>2020</v>
      </c>
      <c r="E85" s="22">
        <v>5</v>
      </c>
      <c r="G85" s="7"/>
    </row>
    <row r="86" spans="1:7" x14ac:dyDescent="0.25">
      <c r="A86" s="85"/>
      <c r="B86" s="54"/>
      <c r="C86" s="12" t="s">
        <v>74</v>
      </c>
      <c r="D86" s="4">
        <f t="shared" si="10"/>
        <v>2020</v>
      </c>
      <c r="E86" s="22">
        <v>21</v>
      </c>
      <c r="G86" s="7"/>
    </row>
    <row r="87" spans="1:7" x14ac:dyDescent="0.25">
      <c r="G87" s="7"/>
    </row>
    <row r="88" spans="1:7" x14ac:dyDescent="0.25">
      <c r="A88" s="9"/>
      <c r="B88" s="11" t="s">
        <v>96</v>
      </c>
      <c r="C88" s="86" t="s">
        <v>97</v>
      </c>
      <c r="D88" s="86"/>
      <c r="E88" s="86"/>
      <c r="F88" s="11"/>
      <c r="G88" s="7"/>
    </row>
    <row r="89" spans="1:7" x14ac:dyDescent="0.25">
      <c r="A89" s="9"/>
      <c r="B89" s="9"/>
      <c r="C89" s="64" t="s">
        <v>43</v>
      </c>
      <c r="D89" s="27"/>
      <c r="E89" s="24">
        <v>25</v>
      </c>
      <c r="F89" s="23">
        <v>25</v>
      </c>
      <c r="G89" s="7">
        <f t="shared" si="8"/>
        <v>1</v>
      </c>
    </row>
    <row r="90" spans="1:7" x14ac:dyDescent="0.25">
      <c r="A90" s="9"/>
      <c r="B90" s="9"/>
      <c r="C90" s="28"/>
      <c r="D90" s="27"/>
      <c r="E90" s="25"/>
      <c r="F90" s="23"/>
      <c r="G90" s="7" t="e">
        <f t="shared" si="8"/>
        <v>#DIV/0!</v>
      </c>
    </row>
    <row r="91" spans="1:7" x14ac:dyDescent="0.25">
      <c r="A91" s="9"/>
      <c r="B91" s="9"/>
      <c r="C91" s="28"/>
      <c r="D91" s="27"/>
      <c r="E91" s="25"/>
      <c r="F91" s="23"/>
      <c r="G91" s="7" t="e">
        <f t="shared" si="8"/>
        <v>#DIV/0!</v>
      </c>
    </row>
    <row r="92" spans="1:7" x14ac:dyDescent="0.25">
      <c r="A92" s="9"/>
      <c r="B92" s="9"/>
      <c r="C92" s="28"/>
      <c r="D92" s="27"/>
      <c r="E92" s="25"/>
      <c r="F92" s="23"/>
      <c r="G92" s="7" t="e">
        <f t="shared" si="8"/>
        <v>#DIV/0!</v>
      </c>
    </row>
    <row r="93" spans="1:7" x14ac:dyDescent="0.25">
      <c r="A93" s="9"/>
      <c r="B93" s="9"/>
      <c r="C93" s="28"/>
      <c r="D93" s="27"/>
      <c r="E93" s="25"/>
      <c r="F93" s="23"/>
      <c r="G93" s="7" t="e">
        <f t="shared" si="8"/>
        <v>#DIV/0!</v>
      </c>
    </row>
    <row r="94" spans="1:7" x14ac:dyDescent="0.25">
      <c r="A94" s="9"/>
      <c r="B94" s="9"/>
      <c r="C94" s="16"/>
      <c r="D94" s="17"/>
      <c r="E94" s="9"/>
      <c r="F94" s="9"/>
      <c r="G94" s="9"/>
    </row>
    <row r="95" spans="1:7" x14ac:dyDescent="0.25">
      <c r="B95" s="9"/>
      <c r="C95" s="16"/>
      <c r="D95" s="15"/>
      <c r="E95" s="9"/>
      <c r="F95" s="9"/>
      <c r="G95" s="9"/>
    </row>
    <row r="96" spans="1:7" x14ac:dyDescent="0.25">
      <c r="B96" s="9"/>
      <c r="C96" s="16"/>
      <c r="D96" s="15"/>
      <c r="E96" s="9"/>
      <c r="F96" s="9"/>
      <c r="G96" s="9"/>
    </row>
    <row r="97" spans="2:7" x14ac:dyDescent="0.25">
      <c r="B97" s="9"/>
      <c r="C97" s="16"/>
      <c r="D97" s="15"/>
      <c r="E97" s="9"/>
      <c r="F97" s="9"/>
      <c r="G97" s="9"/>
    </row>
  </sheetData>
  <mergeCells count="18">
    <mergeCell ref="C88:E88"/>
    <mergeCell ref="A33:A37"/>
    <mergeCell ref="A38:A41"/>
    <mergeCell ref="A42:A44"/>
    <mergeCell ref="B42:B44"/>
    <mergeCell ref="A45:A47"/>
    <mergeCell ref="A48:G48"/>
    <mergeCell ref="A49:A58"/>
    <mergeCell ref="A59:A62"/>
    <mergeCell ref="A63:A69"/>
    <mergeCell ref="A70:A82"/>
    <mergeCell ref="A83:A86"/>
    <mergeCell ref="A28:A32"/>
    <mergeCell ref="A7:A8"/>
    <mergeCell ref="A9:A11"/>
    <mergeCell ref="A12:A14"/>
    <mergeCell ref="A15:A17"/>
    <mergeCell ref="A18:A27"/>
  </mergeCells>
  <conditionalFormatting sqref="G1:G47 G49:G1048576">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Главная!$AA$13:$AA$23</xm:f>
          </x14:formula1>
          <xm:sqref>D3</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tabColor rgb="FF92D050"/>
  </sheetPr>
  <dimension ref="A2:H97"/>
  <sheetViews>
    <sheetView workbookViewId="0">
      <selection activeCell="F23" sqref="F23"/>
    </sheetView>
  </sheetViews>
  <sheetFormatPr defaultRowHeight="15" x14ac:dyDescent="0.25"/>
  <cols>
    <col min="1" max="1" width="55" customWidth="1"/>
    <col min="2" max="2" width="12.5703125" customWidth="1"/>
    <col min="3" max="3" width="83.140625" style="12" customWidth="1"/>
    <col min="4" max="4" width="49.140625" style="4" customWidth="1"/>
    <col min="5" max="5" width="11.42578125" customWidth="1"/>
    <col min="6" max="6" width="20" customWidth="1"/>
    <col min="7" max="7" width="16" customWidth="1"/>
    <col min="8" max="8" width="37.42578125" customWidth="1"/>
  </cols>
  <sheetData>
    <row r="2" spans="1:7" x14ac:dyDescent="0.25">
      <c r="A2" s="1" t="s">
        <v>80</v>
      </c>
      <c r="C2" s="12" t="s">
        <v>24</v>
      </c>
      <c r="D2" s="43">
        <v>2022</v>
      </c>
    </row>
    <row r="3" spans="1:7" x14ac:dyDescent="0.25">
      <c r="A3" t="s">
        <v>81</v>
      </c>
      <c r="C3" s="12" t="s">
        <v>191</v>
      </c>
      <c r="D3" s="58" t="s">
        <v>185</v>
      </c>
      <c r="E3" s="57" t="s">
        <v>220</v>
      </c>
    </row>
    <row r="4" spans="1:7" x14ac:dyDescent="0.25">
      <c r="C4" s="12" t="s">
        <v>75</v>
      </c>
      <c r="D4" s="10">
        <f>E83</f>
        <v>66.039828339727805</v>
      </c>
    </row>
    <row r="6" spans="1:7" x14ac:dyDescent="0.25">
      <c r="A6" t="s">
        <v>7</v>
      </c>
      <c r="C6" s="12" t="s">
        <v>25</v>
      </c>
      <c r="D6" s="4" t="s">
        <v>21</v>
      </c>
      <c r="F6" t="s">
        <v>20</v>
      </c>
      <c r="G6" t="s">
        <v>42</v>
      </c>
    </row>
    <row r="7" spans="1:7" x14ac:dyDescent="0.25">
      <c r="A7" s="79" t="s">
        <v>9</v>
      </c>
      <c r="B7" s="49" t="s">
        <v>0</v>
      </c>
      <c r="C7" s="13" t="s">
        <v>1</v>
      </c>
      <c r="D7" s="5"/>
      <c r="E7" s="1">
        <f>IF(E8&gt;=100,1,IF(E8&lt;=40,0,(E8-40)/60))*F7</f>
        <v>13.700333333333331</v>
      </c>
      <c r="F7" s="2">
        <v>23</v>
      </c>
      <c r="G7" s="7">
        <f>E7/F7</f>
        <v>0.59566666666666657</v>
      </c>
    </row>
    <row r="8" spans="1:7" x14ac:dyDescent="0.25">
      <c r="A8" s="79"/>
      <c r="B8" s="50"/>
      <c r="C8" s="12" t="s">
        <v>4</v>
      </c>
      <c r="D8" s="4">
        <f>$D$2-2</f>
        <v>2020</v>
      </c>
      <c r="E8" s="22">
        <v>75.739999999999995</v>
      </c>
      <c r="G8" s="7"/>
    </row>
    <row r="9" spans="1:7" x14ac:dyDescent="0.25">
      <c r="A9" s="81" t="s">
        <v>10</v>
      </c>
      <c r="B9" s="47" t="s">
        <v>3</v>
      </c>
      <c r="C9" s="13" t="s">
        <v>2</v>
      </c>
      <c r="D9" s="5"/>
      <c r="E9" s="1">
        <f>IFERROR(IF(E10/E11*100&gt;=100,1,IF(E10/E11*100&lt;=80,0,((E10/E11*100)-80)/20))*F9," ")</f>
        <v>3</v>
      </c>
      <c r="F9" s="46">
        <v>3</v>
      </c>
      <c r="G9" s="7">
        <f t="shared" ref="G9:G38" si="0">E9/F9</f>
        <v>1</v>
      </c>
    </row>
    <row r="10" spans="1:7" x14ac:dyDescent="0.25">
      <c r="A10" s="81"/>
      <c r="B10" s="48"/>
      <c r="C10" s="12" t="s">
        <v>23</v>
      </c>
      <c r="D10" s="4" t="str">
        <f>$D$2-2&amp;" "&amp;$D$2-3&amp;" "&amp;$D$2-4</f>
        <v>2020 2019 2018</v>
      </c>
      <c r="E10" s="22">
        <v>186</v>
      </c>
      <c r="G10" s="7"/>
    </row>
    <row r="11" spans="1:7" x14ac:dyDescent="0.25">
      <c r="A11" s="81"/>
      <c r="B11" s="48"/>
      <c r="C11" s="12" t="s">
        <v>22</v>
      </c>
      <c r="D11" s="4" t="str">
        <f>$D$2-2&amp;" "&amp;$D$2-3&amp;" "&amp;$D$2-4</f>
        <v>2020 2019 2018</v>
      </c>
      <c r="E11" s="22">
        <v>186</v>
      </c>
      <c r="G11" s="7"/>
    </row>
    <row r="12" spans="1:7" x14ac:dyDescent="0.25">
      <c r="A12" s="79" t="s">
        <v>8</v>
      </c>
      <c r="B12" s="49" t="s">
        <v>6</v>
      </c>
      <c r="C12" s="13" t="s">
        <v>5</v>
      </c>
      <c r="D12" s="5"/>
      <c r="E12" s="1">
        <f>IF(E14/E13&gt;=0.5,1,IF(E14/E13&lt;=0,0,(E14/E13/0.5)))*F12</f>
        <v>0</v>
      </c>
      <c r="F12" s="46">
        <v>4</v>
      </c>
      <c r="G12" s="7">
        <f t="shared" si="0"/>
        <v>0</v>
      </c>
    </row>
    <row r="13" spans="1:7" x14ac:dyDescent="0.25">
      <c r="A13" s="79"/>
      <c r="B13" s="50"/>
      <c r="C13" s="12" t="s">
        <v>11</v>
      </c>
      <c r="D13" s="4">
        <f>$D$2-2</f>
        <v>2020</v>
      </c>
      <c r="E13" s="22">
        <v>142</v>
      </c>
      <c r="G13" s="7"/>
    </row>
    <row r="14" spans="1:7" x14ac:dyDescent="0.25">
      <c r="A14" s="79"/>
      <c r="B14" s="50"/>
      <c r="C14" s="12" t="s">
        <v>12</v>
      </c>
      <c r="D14" s="4">
        <f>$D$2-2</f>
        <v>2020</v>
      </c>
      <c r="E14" s="22">
        <v>0</v>
      </c>
      <c r="G14" s="7"/>
    </row>
    <row r="15" spans="1:7" x14ac:dyDescent="0.25">
      <c r="A15" s="81" t="s">
        <v>17</v>
      </c>
      <c r="B15" s="47" t="s">
        <v>13</v>
      </c>
      <c r="C15" s="13" t="s">
        <v>14</v>
      </c>
      <c r="D15" s="5"/>
      <c r="E15" s="1">
        <f>IF(E16/E17&gt;=1,1,IF(E16/E17&lt;=0,0,(E16/E17)))*F15</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1</v>
      </c>
      <c r="G17" s="7"/>
    </row>
    <row r="18" spans="1:7" x14ac:dyDescent="0.25">
      <c r="A18" s="79" t="s">
        <v>217</v>
      </c>
      <c r="B18" s="49" t="s">
        <v>19</v>
      </c>
      <c r="C18" s="13" t="s">
        <v>18</v>
      </c>
      <c r="D18" s="5"/>
      <c r="E18" s="1">
        <f>IF(IF(E19+E22*0.25+E25*0.1&lt;=0,0,(((E20+0.25*E23+0.1*E26)+3*(E21+0.25*E24+0.1*E27))/(E19+E22*0.25+E25*0.1)))&gt;=0.25,1,IF(IF(E19+E22*0.25+E25*0.1&lt;=0,1,(((E20+0.25*E23+0.1*E26)+3*(E21+0.25*E24+0.1*E27))/(E19+E22*0.25+E25*0.1)))&lt;=0,0,IF(E19+E22*0.25+E25*0.1&lt;=0,1,(((E20+0.25*E23+0.1*E26)+3*(E21+0.25*E24+0.1*E27))/(E19+E22*0.25+E25*0.1))/0.25)))*F18</f>
        <v>2.8631795928884305</v>
      </c>
      <c r="F18" s="11">
        <f>IF(OR(D3=Главная!AA14,D3=Главная!AA15,D3=Главная!AA17,D3=Главная!AA18,D3=Главная!AA21),6,9)</f>
        <v>6</v>
      </c>
      <c r="G18" s="7">
        <f t="shared" si="0"/>
        <v>0.47719659881473842</v>
      </c>
    </row>
    <row r="19" spans="1:7" x14ac:dyDescent="0.25">
      <c r="A19" s="79"/>
      <c r="B19" s="50"/>
      <c r="C19" s="12" t="s">
        <v>26</v>
      </c>
      <c r="D19" s="4">
        <f t="shared" ref="D19:D41" si="1">$D$2-2</f>
        <v>2020</v>
      </c>
      <c r="E19" s="22">
        <v>388</v>
      </c>
      <c r="G19" s="7"/>
    </row>
    <row r="20" spans="1:7" x14ac:dyDescent="0.25">
      <c r="A20" s="79"/>
      <c r="B20" s="50"/>
      <c r="C20" s="12" t="s">
        <v>27</v>
      </c>
      <c r="D20" s="4">
        <f t="shared" si="1"/>
        <v>2020</v>
      </c>
      <c r="E20" s="22">
        <v>28</v>
      </c>
      <c r="G20" s="7"/>
    </row>
    <row r="21" spans="1:7" x14ac:dyDescent="0.25">
      <c r="A21" s="79"/>
      <c r="B21" s="50"/>
      <c r="C21" s="12" t="s">
        <v>28</v>
      </c>
      <c r="D21" s="4">
        <f t="shared" si="1"/>
        <v>2020</v>
      </c>
      <c r="E21" s="22">
        <v>6</v>
      </c>
      <c r="G21" s="7"/>
    </row>
    <row r="22" spans="1:7" x14ac:dyDescent="0.25">
      <c r="A22" s="79"/>
      <c r="B22" s="50"/>
      <c r="C22" s="12" t="s">
        <v>29</v>
      </c>
      <c r="D22" s="4">
        <f t="shared" si="1"/>
        <v>2020</v>
      </c>
      <c r="E22" s="22">
        <v>0</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1</v>
      </c>
      <c r="G25" s="7"/>
    </row>
    <row r="26" spans="1:7" x14ac:dyDescent="0.25">
      <c r="A26" s="79"/>
      <c r="B26" s="50"/>
      <c r="C26" s="12" t="s">
        <v>33</v>
      </c>
      <c r="D26" s="4">
        <f t="shared" si="1"/>
        <v>2020</v>
      </c>
      <c r="E26" s="22">
        <v>0</v>
      </c>
      <c r="G26" s="7"/>
    </row>
    <row r="27" spans="1:7" x14ac:dyDescent="0.25">
      <c r="A27" s="79"/>
      <c r="B27" s="50"/>
      <c r="C27" s="12" t="s">
        <v>34</v>
      </c>
      <c r="D27" s="4">
        <f t="shared" si="1"/>
        <v>2020</v>
      </c>
      <c r="E27" s="22">
        <v>1</v>
      </c>
      <c r="G27" s="7"/>
    </row>
    <row r="28" spans="1:7" x14ac:dyDescent="0.25">
      <c r="A28" s="77" t="s">
        <v>143</v>
      </c>
      <c r="B28" s="47" t="s">
        <v>85</v>
      </c>
      <c r="C28" s="13" t="s">
        <v>84</v>
      </c>
      <c r="E28" s="11">
        <f>IFERROR(IF(IF(AND(E35+0.25*E36+0.1*E37=0,0.25*(E29+0.25*E30+0.1*E31)+(E32+0.25*E33+0.1*E34)&gt;0),1,(0.25*(E29+0.25*E30+0.1*E31)+(E32+0.25*E33+0.1*E34))/(E35+0.25*E36+0.1*E37))&gt;=0.2,1,IF(IF(E35+0.25*E36+0.1*E37=0,1,(0.25*(E29+0.25*E30+0.1*E31)+(E32+0.25*E33+0.1*E34))/(E35+0.25*E36+0.1*E37))&lt;=0,0,IF(E35+0.25*E36+0.1*E37=0,1,(0.25*(E29+0.25*E30+0.1*E31)+(E32+0.25*E33+0.1*E34))/(E35+0.25*E36+0.1*E37)/0.2)))*F28," ")</f>
        <v>1.2887527036770006</v>
      </c>
      <c r="F28" s="1">
        <f>IF(OR(D3=Главная!AA14,D3=Главная!AA15,D3=Главная!AA17,D3=Главная!AA18,D3=Главная!AA21),6,0)</f>
        <v>6</v>
      </c>
      <c r="G28" s="7">
        <f t="shared" si="0"/>
        <v>0.21479211727950009</v>
      </c>
    </row>
    <row r="29" spans="1:7" x14ac:dyDescent="0.25">
      <c r="A29" s="77"/>
      <c r="B29" s="48"/>
      <c r="C29" s="12" t="s">
        <v>86</v>
      </c>
      <c r="D29" s="14">
        <f>$D$2-3</f>
        <v>2019</v>
      </c>
      <c r="E29" s="22">
        <v>0</v>
      </c>
      <c r="G29" s="7"/>
    </row>
    <row r="30" spans="1:7" x14ac:dyDescent="0.25">
      <c r="A30" s="77"/>
      <c r="B30" s="48"/>
      <c r="C30" s="12" t="s">
        <v>87</v>
      </c>
      <c r="D30" s="14">
        <f t="shared" ref="D30:D34" si="2">$D$2-3</f>
        <v>2019</v>
      </c>
      <c r="E30" s="22">
        <v>102</v>
      </c>
      <c r="G30" s="7"/>
    </row>
    <row r="31" spans="1:7" x14ac:dyDescent="0.25">
      <c r="A31" s="77"/>
      <c r="B31" s="48"/>
      <c r="C31" s="12" t="s">
        <v>88</v>
      </c>
      <c r="D31" s="14">
        <f t="shared" si="2"/>
        <v>2019</v>
      </c>
      <c r="E31" s="22">
        <v>0</v>
      </c>
      <c r="G31" s="7"/>
    </row>
    <row r="32" spans="1:7" ht="39.75" customHeight="1" x14ac:dyDescent="0.25">
      <c r="A32" s="77"/>
      <c r="B32" s="48"/>
      <c r="C32" s="12" t="s">
        <v>89</v>
      </c>
      <c r="D32" s="14">
        <f t="shared" si="2"/>
        <v>2019</v>
      </c>
      <c r="E32" s="22">
        <v>0</v>
      </c>
      <c r="G32" s="7"/>
    </row>
    <row r="33" spans="1:7" x14ac:dyDescent="0.25">
      <c r="A33" s="77" t="s">
        <v>142</v>
      </c>
      <c r="B33" s="48"/>
      <c r="C33" s="12" t="s">
        <v>90</v>
      </c>
      <c r="D33" s="14">
        <f t="shared" si="2"/>
        <v>2019</v>
      </c>
      <c r="E33" s="22">
        <v>46</v>
      </c>
      <c r="G33" s="7"/>
    </row>
    <row r="34" spans="1:7" x14ac:dyDescent="0.25">
      <c r="A34" s="77"/>
      <c r="B34" s="48"/>
      <c r="C34" s="12" t="s">
        <v>91</v>
      </c>
      <c r="D34" s="14">
        <f t="shared" si="2"/>
        <v>2019</v>
      </c>
      <c r="E34" s="22">
        <v>0</v>
      </c>
      <c r="G34" s="7"/>
    </row>
    <row r="35" spans="1:7" x14ac:dyDescent="0.25">
      <c r="A35" s="77"/>
      <c r="B35" s="48"/>
      <c r="C35" s="12" t="s">
        <v>92</v>
      </c>
      <c r="D35" s="4">
        <f t="shared" ref="D35:D37" si="3">$D$2-2</f>
        <v>2020</v>
      </c>
      <c r="E35" s="22">
        <f>E19+E20</f>
        <v>416</v>
      </c>
      <c r="G35" s="7"/>
    </row>
    <row r="36" spans="1:7" x14ac:dyDescent="0.25">
      <c r="A36" s="77"/>
      <c r="B36" s="48"/>
      <c r="C36" s="12" t="s">
        <v>93</v>
      </c>
      <c r="D36" s="4">
        <f t="shared" si="3"/>
        <v>2020</v>
      </c>
      <c r="E36" s="22">
        <f>E22+E23</f>
        <v>0</v>
      </c>
      <c r="G36" s="7"/>
    </row>
    <row r="37" spans="1:7" x14ac:dyDescent="0.25">
      <c r="A37" s="77"/>
      <c r="B37" s="48"/>
      <c r="C37" s="12" t="s">
        <v>94</v>
      </c>
      <c r="D37" s="4">
        <f t="shared" si="3"/>
        <v>2020</v>
      </c>
      <c r="E37" s="22">
        <f>E25+E26</f>
        <v>1</v>
      </c>
      <c r="G37" s="7"/>
    </row>
    <row r="38" spans="1:7" x14ac:dyDescent="0.25">
      <c r="A38" s="78" t="s">
        <v>41</v>
      </c>
      <c r="B38" s="49" t="s">
        <v>36</v>
      </c>
      <c r="C38" s="13" t="s">
        <v>37</v>
      </c>
      <c r="D38" s="5"/>
      <c r="E38" s="1">
        <f>IF(((E39+E40*0.25+E41*0.1)/(E19+E22*0.25+E25*0.1))&gt;=0.5,1,IF((E39+E40*0.25+E41*0.1)/(E19+E22*0.25+E25*0.1)&lt;=0,0,((E39+E40*0.25+E41*0.1)/(E19+E22*0.25+E25*0.1)/0.5)))*F38</f>
        <v>6</v>
      </c>
      <c r="F38" s="11">
        <f>IF(OR(D3=Главная!AA14,D3=Главная!AA15,D3=Главная!AA17,D3=Главная!AA18,D3=Главная!AA21),6,9)</f>
        <v>6</v>
      </c>
      <c r="G38" s="7">
        <f t="shared" si="0"/>
        <v>1</v>
      </c>
    </row>
    <row r="39" spans="1:7" x14ac:dyDescent="0.25">
      <c r="A39" s="78"/>
      <c r="B39" s="50"/>
      <c r="C39" s="12" t="s">
        <v>38</v>
      </c>
      <c r="D39" s="4">
        <f t="shared" si="1"/>
        <v>2020</v>
      </c>
      <c r="E39" s="22">
        <v>357</v>
      </c>
      <c r="G39" s="7"/>
    </row>
    <row r="40" spans="1:7" x14ac:dyDescent="0.25">
      <c r="A40" s="78"/>
      <c r="B40" s="50"/>
      <c r="C40" s="40" t="s">
        <v>139</v>
      </c>
      <c r="D40" s="4">
        <f t="shared" si="1"/>
        <v>2020</v>
      </c>
      <c r="E40" s="22">
        <v>0</v>
      </c>
      <c r="G40" s="7"/>
    </row>
    <row r="41" spans="1:7" x14ac:dyDescent="0.25">
      <c r="A41" s="78"/>
      <c r="B41" s="50"/>
      <c r="C41" s="12" t="s">
        <v>40</v>
      </c>
      <c r="D41" s="4">
        <f t="shared" si="1"/>
        <v>2020</v>
      </c>
      <c r="E41" s="22">
        <v>15</v>
      </c>
      <c r="G41" s="7"/>
    </row>
    <row r="42" spans="1:7" ht="15" customHeight="1" x14ac:dyDescent="0.25">
      <c r="A42" s="77" t="s">
        <v>145</v>
      </c>
      <c r="B42" s="76" t="s">
        <v>44</v>
      </c>
      <c r="C42" s="13" t="s">
        <v>43</v>
      </c>
      <c r="D42" s="5"/>
      <c r="E42" s="1" t="str">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f>
        <v/>
      </c>
      <c r="F42" s="2">
        <v>25</v>
      </c>
      <c r="G42" s="7" t="e">
        <f>E42/F42</f>
        <v>#VALUE!</v>
      </c>
    </row>
    <row r="43" spans="1:7" x14ac:dyDescent="0.25">
      <c r="A43" s="77"/>
      <c r="B43" s="76" t="s">
        <v>218</v>
      </c>
      <c r="C43" s="12" t="s">
        <v>46</v>
      </c>
      <c r="D43" s="4" t="str">
        <f>$D$2-4&amp;" "&amp;$D$2-5&amp;" "&amp;$D$2-6</f>
        <v>2018 2017 2016</v>
      </c>
      <c r="E43" s="22"/>
    </row>
    <row r="44" spans="1:7" x14ac:dyDescent="0.25">
      <c r="A44" s="77"/>
      <c r="B44" s="76"/>
      <c r="C44" s="12" t="s">
        <v>45</v>
      </c>
      <c r="D44" s="4" t="str">
        <f>$D$2-3&amp;" "&amp;$D$2-4&amp;" "&amp;$D$2-5</f>
        <v>2019 2018 2017</v>
      </c>
      <c r="E44" s="22"/>
    </row>
    <row r="45" spans="1:7" x14ac:dyDescent="0.25">
      <c r="A45" s="79" t="s">
        <v>219</v>
      </c>
      <c r="B45" s="49" t="s">
        <v>48</v>
      </c>
      <c r="C45" s="13" t="s">
        <v>47</v>
      </c>
      <c r="D45" s="5"/>
      <c r="E45" s="1">
        <f>IFERROR(IF(E47/E46*100&lt;=30,0,IF(E47/E46*100&gt;=60,1,(E47/E46*100-30)/30))*F45," ")</f>
        <v>5</v>
      </c>
      <c r="F45" s="46">
        <v>5</v>
      </c>
      <c r="G45" s="7">
        <f t="shared" ref="G45" si="4">E45/F45</f>
        <v>1</v>
      </c>
    </row>
    <row r="46" spans="1:7" x14ac:dyDescent="0.25">
      <c r="A46" s="79"/>
      <c r="B46" s="50"/>
      <c r="C46" s="12" t="s">
        <v>49</v>
      </c>
      <c r="D46" s="8">
        <f>$D$2-5</f>
        <v>2017</v>
      </c>
      <c r="E46" s="22">
        <v>2129</v>
      </c>
    </row>
    <row r="47" spans="1:7" x14ac:dyDescent="0.25">
      <c r="A47" s="80"/>
      <c r="B47" s="50"/>
      <c r="C47" s="12" t="s">
        <v>50</v>
      </c>
      <c r="D47" s="4">
        <f t="shared" ref="D47" si="5">$D$2-2</f>
        <v>2020</v>
      </c>
      <c r="E47" s="29">
        <v>1692</v>
      </c>
    </row>
    <row r="48" spans="1:7" s="56" customFormat="1" ht="15" customHeight="1" x14ac:dyDescent="0.25">
      <c r="A48" s="71" t="s">
        <v>224</v>
      </c>
      <c r="B48" s="72"/>
      <c r="C48" s="72"/>
      <c r="D48" s="72"/>
      <c r="E48" s="72"/>
      <c r="F48" s="72"/>
      <c r="G48" s="73"/>
    </row>
    <row r="49" spans="1:8" ht="15" customHeight="1" x14ac:dyDescent="0.25">
      <c r="A49" s="74" t="s">
        <v>59</v>
      </c>
      <c r="B49" s="59" t="s">
        <v>52</v>
      </c>
      <c r="C49" s="30" t="s">
        <v>53</v>
      </c>
      <c r="D49" s="31"/>
      <c r="E49" s="32">
        <f>IFERROR(IF((E56/(E50+E53)+E57/(E51+E54)+E58/(E52+E55))/3*100&lt;=5,0,IF((E56/(E50+E53)+E57/(E51+E54)+E58/(E52+E55))/3*100&gt;=100,1,((E56/(E50+E53)+E57/(E51+E54)+E58/(E52+E55))/3*100-5)/95))*F49,"")</f>
        <v>0</v>
      </c>
      <c r="F49" s="32">
        <f>IF(OR(Главная!AA13=D3,Главная!AA14=D3,Главная!AA15=D3,Главная!AA16=D3,Главная!AA23=D3),5,0)</f>
        <v>0</v>
      </c>
      <c r="G49" s="33" t="e">
        <f t="shared" ref="G49" si="6">E49/F49</f>
        <v>#DIV/0!</v>
      </c>
      <c r="H49" s="34"/>
    </row>
    <row r="50" spans="1:8" x14ac:dyDescent="0.25">
      <c r="A50" s="75"/>
      <c r="B50" s="55"/>
      <c r="C50" s="12" t="s">
        <v>54</v>
      </c>
      <c r="D50" s="8">
        <f>$D$2-5</f>
        <v>2017</v>
      </c>
      <c r="E50" s="22">
        <v>1051.2</v>
      </c>
    </row>
    <row r="51" spans="1:8" x14ac:dyDescent="0.25">
      <c r="A51" s="75"/>
      <c r="B51" s="55"/>
      <c r="C51" s="12" t="s">
        <v>54</v>
      </c>
      <c r="D51" s="8">
        <f>$D$2-4</f>
        <v>2018</v>
      </c>
      <c r="E51" s="22">
        <v>1047.5</v>
      </c>
    </row>
    <row r="52" spans="1:8" x14ac:dyDescent="0.25">
      <c r="A52" s="75"/>
      <c r="B52" s="55"/>
      <c r="C52" s="12" t="s">
        <v>54</v>
      </c>
      <c r="D52" s="8">
        <f>$D$2-3</f>
        <v>2019</v>
      </c>
      <c r="E52" s="22">
        <v>1059.5</v>
      </c>
    </row>
    <row r="53" spans="1:8" x14ac:dyDescent="0.25">
      <c r="A53" s="75"/>
      <c r="B53" s="55"/>
      <c r="C53" s="12" t="s">
        <v>55</v>
      </c>
      <c r="D53" s="8">
        <f>$D$2-5</f>
        <v>2017</v>
      </c>
      <c r="E53" s="22">
        <v>56.2</v>
      </c>
    </row>
    <row r="54" spans="1:8" x14ac:dyDescent="0.25">
      <c r="A54" s="75"/>
      <c r="B54" s="55"/>
      <c r="C54" s="12" t="s">
        <v>55</v>
      </c>
      <c r="D54" s="8">
        <f>$D$2-4</f>
        <v>2018</v>
      </c>
      <c r="E54" s="22">
        <v>54.6</v>
      </c>
    </row>
    <row r="55" spans="1:8" x14ac:dyDescent="0.25">
      <c r="A55" s="75"/>
      <c r="B55" s="55"/>
      <c r="C55" s="12" t="s">
        <v>55</v>
      </c>
      <c r="D55" s="8">
        <f>$D$2-3</f>
        <v>2019</v>
      </c>
      <c r="E55" s="22">
        <v>56.5</v>
      </c>
    </row>
    <row r="56" spans="1:8" x14ac:dyDescent="0.25">
      <c r="A56" s="75"/>
      <c r="B56" s="55"/>
      <c r="C56" s="12" t="s">
        <v>56</v>
      </c>
      <c r="D56" s="8">
        <f>$D$2-5</f>
        <v>2017</v>
      </c>
      <c r="E56" s="22">
        <v>380</v>
      </c>
    </row>
    <row r="57" spans="1:8" x14ac:dyDescent="0.25">
      <c r="A57" s="75"/>
      <c r="B57" s="55"/>
      <c r="C57" s="12" t="s">
        <v>56</v>
      </c>
      <c r="D57" s="8">
        <f>$D$2-4</f>
        <v>2018</v>
      </c>
      <c r="E57" s="22">
        <v>830</v>
      </c>
      <c r="F57" s="9"/>
    </row>
    <row r="58" spans="1:8" x14ac:dyDescent="0.25">
      <c r="A58" s="75"/>
      <c r="B58" s="55"/>
      <c r="C58" s="12" t="s">
        <v>56</v>
      </c>
      <c r="D58" s="8">
        <f>$D$2-3</f>
        <v>2019</v>
      </c>
      <c r="E58" s="22">
        <v>1149</v>
      </c>
      <c r="F58" s="9"/>
    </row>
    <row r="59" spans="1:8" x14ac:dyDescent="0.25">
      <c r="A59" s="82" t="s">
        <v>79</v>
      </c>
      <c r="B59" s="51" t="s">
        <v>58</v>
      </c>
      <c r="C59" s="13" t="s">
        <v>57</v>
      </c>
      <c r="D59" s="5"/>
      <c r="E59" s="1">
        <f>IFERROR(IF((E60/(E50+E53)+E61/(E51+E54)+E62/(E52+E55))/3&lt;=100,0,IF((E60/(E50+E53)+E61/(E51+E54)+E62/(E52+E55))/3&gt;=1000,1,((E60/(E50+E53)+E61/(E51+E54)+E62/(E52+E55))/3-100)/900))*F59," ")</f>
        <v>0</v>
      </c>
      <c r="F59" s="11">
        <f>IF(OR(Главная!AA17=D3,Главная!AA20=D3),7,IF(OR(Главная!AA13=D3,Главная!AA14=D3,Главная!AA15=D3,Главная!AA16=D3,Главная!AA23=D3),5,0))</f>
        <v>0</v>
      </c>
      <c r="G59" s="7" t="e">
        <f t="shared" ref="G59" si="7">E59/F59</f>
        <v>#DIV/0!</v>
      </c>
    </row>
    <row r="60" spans="1:8" x14ac:dyDescent="0.25">
      <c r="A60" s="82"/>
      <c r="B60" s="52"/>
      <c r="C60" s="12" t="s">
        <v>82</v>
      </c>
      <c r="D60" s="8">
        <f>$D$2-5</f>
        <v>2017</v>
      </c>
      <c r="E60" s="22">
        <v>265431.7</v>
      </c>
      <c r="F60" s="9"/>
    </row>
    <row r="61" spans="1:8" x14ac:dyDescent="0.25">
      <c r="A61" s="82"/>
      <c r="B61" s="52"/>
      <c r="C61" s="12" t="s">
        <v>82</v>
      </c>
      <c r="D61" s="8">
        <f>$D$2-4</f>
        <v>2018</v>
      </c>
      <c r="E61" s="22">
        <v>382808.6</v>
      </c>
      <c r="F61" s="9"/>
    </row>
    <row r="62" spans="1:8" x14ac:dyDescent="0.25">
      <c r="A62" s="82"/>
      <c r="B62" s="52"/>
      <c r="C62" s="12" t="s">
        <v>82</v>
      </c>
      <c r="D62" s="8">
        <f>$D$2-3</f>
        <v>2019</v>
      </c>
      <c r="E62" s="22">
        <v>619984.4</v>
      </c>
      <c r="F62" s="9"/>
    </row>
    <row r="63" spans="1:8" x14ac:dyDescent="0.25">
      <c r="A63" s="83" t="s">
        <v>78</v>
      </c>
      <c r="B63" s="2" t="s">
        <v>61</v>
      </c>
      <c r="C63" s="13" t="s">
        <v>60</v>
      </c>
      <c r="D63" s="5"/>
      <c r="E63" s="1">
        <f>IF((E67+0.25*E68+0.1*E69)/(E64+E65*0.25+E66*0.1)*100&gt;=15,1,IF((E67+0.25*E68+0.1*E69)/(E64+E65*0.25+E66*0.1)*100&lt;=1,0,((E67+0.25*E68+0.1*E69)/(E64+E65*0.25+E66*0.1)*100-1)/14))*F63</f>
        <v>2.4528879968620299</v>
      </c>
      <c r="F63" s="11">
        <f>IF(OR(Главная!AA17=D3,Главная!AA20=D3,Главная!AA18=D3),6,IF(OR(Главная!AA13=D3,Главная!AA14=D3,Главная!AA15=D3,Главная!AA16=D3,Главная!AA23=D3),5,10))</f>
        <v>6</v>
      </c>
      <c r="G63" s="7">
        <f t="shared" ref="G63:G93" si="8">E63/F63</f>
        <v>0.40881466614367162</v>
      </c>
    </row>
    <row r="64" spans="1:8"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6.7346747129670161</v>
      </c>
      <c r="F70" s="11">
        <f>IF(OR(Главная!AA17=D3,Главная!AA20=D3,Главная!AA18=D3),7,IF(OR(Главная!AA13=D3,Главная!AA14=D3,Главная!AA15=D3,Главная!AA16=D3,Главная!AA23=D3),5,10))</f>
        <v>7</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SUM(E7,E9,E12,E15,E18,E38,E42,E45,E49,E59,E63,E70,E28,E89:E93)*(IF(1+0.5*((E84+E85*0.25+E86*0.1)/(E19+E22*0.25+E25*0.1)-0.2)/0.8&lt;1,1,1+0.5*((E84+E85*0.25+E86*0.1)/(E19+E22*0.25+E25*0.1)-0.2)/0.8))</f>
        <v>66.039828339727805</v>
      </c>
      <c r="F83">
        <v>100</v>
      </c>
      <c r="G83" s="7">
        <f t="shared" si="8"/>
        <v>0.66039828339727802</v>
      </c>
    </row>
    <row r="84" spans="1:7" x14ac:dyDescent="0.25">
      <c r="A84" s="85"/>
      <c r="B84" s="54"/>
      <c r="C84" s="12" t="s">
        <v>72</v>
      </c>
      <c r="D84" s="4">
        <f t="shared" ref="D84:D86" si="10">$D$2-2</f>
        <v>2020</v>
      </c>
      <c r="E84" s="22">
        <v>5</v>
      </c>
      <c r="G84" s="7"/>
    </row>
    <row r="85" spans="1:7" x14ac:dyDescent="0.25">
      <c r="A85" s="85"/>
      <c r="B85" s="54"/>
      <c r="C85" s="12" t="s">
        <v>73</v>
      </c>
      <c r="D85" s="4">
        <f t="shared" si="10"/>
        <v>2020</v>
      </c>
      <c r="E85" s="22">
        <v>0</v>
      </c>
      <c r="G85" s="7"/>
    </row>
    <row r="86" spans="1:7" x14ac:dyDescent="0.25">
      <c r="A86" s="85"/>
      <c r="B86" s="54"/>
      <c r="C86" s="12" t="s">
        <v>74</v>
      </c>
      <c r="D86" s="4">
        <f t="shared" si="10"/>
        <v>2020</v>
      </c>
      <c r="E86" s="22">
        <v>0</v>
      </c>
      <c r="G86" s="7"/>
    </row>
    <row r="87" spans="1:7" x14ac:dyDescent="0.25">
      <c r="G87" s="7"/>
    </row>
    <row r="88" spans="1:7" x14ac:dyDescent="0.25">
      <c r="A88" s="9"/>
      <c r="B88" s="11" t="s">
        <v>96</v>
      </c>
      <c r="C88" s="86" t="s">
        <v>97</v>
      </c>
      <c r="D88" s="86"/>
      <c r="E88" s="86"/>
      <c r="F88" s="11"/>
      <c r="G88" s="7"/>
    </row>
    <row r="89" spans="1:7" x14ac:dyDescent="0.25">
      <c r="A89" s="9"/>
      <c r="B89" s="9"/>
      <c r="C89" s="64" t="s">
        <v>43</v>
      </c>
      <c r="D89" s="27"/>
      <c r="E89" s="24">
        <v>25</v>
      </c>
      <c r="F89" s="23">
        <v>25</v>
      </c>
      <c r="G89" s="7">
        <f t="shared" si="8"/>
        <v>1</v>
      </c>
    </row>
    <row r="90" spans="1:7" x14ac:dyDescent="0.25">
      <c r="A90" s="9"/>
      <c r="B90" s="9"/>
      <c r="C90" s="28"/>
      <c r="D90" s="27"/>
      <c r="E90" s="25"/>
      <c r="F90" s="23"/>
      <c r="G90" s="7" t="e">
        <f t="shared" si="8"/>
        <v>#DIV/0!</v>
      </c>
    </row>
    <row r="91" spans="1:7" x14ac:dyDescent="0.25">
      <c r="A91" s="9"/>
      <c r="B91" s="9"/>
      <c r="C91" s="28"/>
      <c r="D91" s="27"/>
      <c r="E91" s="25"/>
      <c r="F91" s="23"/>
      <c r="G91" s="7" t="e">
        <f t="shared" si="8"/>
        <v>#DIV/0!</v>
      </c>
    </row>
    <row r="92" spans="1:7" x14ac:dyDescent="0.25">
      <c r="A92" s="9"/>
      <c r="B92" s="9"/>
      <c r="C92" s="28"/>
      <c r="D92" s="27"/>
      <c r="E92" s="25"/>
      <c r="F92" s="23"/>
      <c r="G92" s="7" t="e">
        <f t="shared" si="8"/>
        <v>#DIV/0!</v>
      </c>
    </row>
    <row r="93" spans="1:7" x14ac:dyDescent="0.25">
      <c r="A93" s="9"/>
      <c r="B93" s="9"/>
      <c r="C93" s="28"/>
      <c r="D93" s="27"/>
      <c r="E93" s="25"/>
      <c r="F93" s="23"/>
      <c r="G93" s="7" t="e">
        <f t="shared" si="8"/>
        <v>#DIV/0!</v>
      </c>
    </row>
    <row r="94" spans="1:7" x14ac:dyDescent="0.25">
      <c r="A94" s="9"/>
      <c r="B94" s="9"/>
      <c r="C94" s="16"/>
      <c r="D94" s="17"/>
      <c r="E94" s="9"/>
      <c r="F94" s="9"/>
      <c r="G94" s="9"/>
    </row>
    <row r="95" spans="1:7" x14ac:dyDescent="0.25">
      <c r="B95" s="9"/>
      <c r="C95" s="16"/>
      <c r="D95" s="15"/>
      <c r="E95" s="9"/>
      <c r="F95" s="9"/>
      <c r="G95" s="9"/>
    </row>
    <row r="96" spans="1:7" x14ac:dyDescent="0.25">
      <c r="B96" s="9"/>
      <c r="C96" s="16"/>
      <c r="D96" s="15"/>
      <c r="E96" s="9"/>
      <c r="F96" s="9"/>
      <c r="G96" s="9"/>
    </row>
    <row r="97" spans="2:7" x14ac:dyDescent="0.25">
      <c r="B97" s="9"/>
      <c r="C97" s="16"/>
      <c r="D97" s="15"/>
      <c r="E97" s="9"/>
      <c r="F97" s="9"/>
      <c r="G97" s="9"/>
    </row>
  </sheetData>
  <mergeCells count="18">
    <mergeCell ref="C88:E88"/>
    <mergeCell ref="A33:A37"/>
    <mergeCell ref="A38:A41"/>
    <mergeCell ref="A42:A44"/>
    <mergeCell ref="B42:B44"/>
    <mergeCell ref="A45:A47"/>
    <mergeCell ref="A48:G48"/>
    <mergeCell ref="A49:A58"/>
    <mergeCell ref="A59:A62"/>
    <mergeCell ref="A63:A69"/>
    <mergeCell ref="A70:A82"/>
    <mergeCell ref="A83:A86"/>
    <mergeCell ref="A28:A32"/>
    <mergeCell ref="A7:A8"/>
    <mergeCell ref="A9:A11"/>
    <mergeCell ref="A12:A14"/>
    <mergeCell ref="A15:A17"/>
    <mergeCell ref="A18:A27"/>
  </mergeCells>
  <conditionalFormatting sqref="G1:G47 G49:G1048576">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Главная!$AA$13:$AA$23</xm:f>
          </x14:formula1>
          <xm:sqref>D3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9">
    <tabColor rgb="FF92D050"/>
  </sheetPr>
  <dimension ref="A2:H97"/>
  <sheetViews>
    <sheetView workbookViewId="0">
      <selection activeCell="E27" sqref="E27"/>
    </sheetView>
  </sheetViews>
  <sheetFormatPr defaultRowHeight="15" x14ac:dyDescent="0.25"/>
  <cols>
    <col min="1" max="1" width="55" customWidth="1"/>
    <col min="2" max="2" width="12.5703125" customWidth="1"/>
    <col min="3" max="3" width="83.140625" style="12" customWidth="1"/>
    <col min="4" max="4" width="49.140625" style="4" customWidth="1"/>
    <col min="5" max="5" width="11.42578125" customWidth="1"/>
    <col min="6" max="6" width="20" customWidth="1"/>
    <col min="7" max="7" width="16" customWidth="1"/>
    <col min="8" max="8" width="37.42578125" customWidth="1"/>
  </cols>
  <sheetData>
    <row r="2" spans="1:7" x14ac:dyDescent="0.25">
      <c r="A2" s="1" t="s">
        <v>80</v>
      </c>
      <c r="C2" s="12" t="s">
        <v>24</v>
      </c>
      <c r="D2" s="43">
        <v>2022</v>
      </c>
    </row>
    <row r="3" spans="1:7" x14ac:dyDescent="0.25">
      <c r="A3" t="s">
        <v>81</v>
      </c>
      <c r="C3" s="12" t="s">
        <v>191</v>
      </c>
      <c r="D3" s="58" t="s">
        <v>186</v>
      </c>
      <c r="E3" s="57" t="s">
        <v>220</v>
      </c>
    </row>
    <row r="4" spans="1:7" x14ac:dyDescent="0.25">
      <c r="C4" s="12" t="s">
        <v>75</v>
      </c>
      <c r="D4" s="10">
        <f>E83</f>
        <v>72.944512481678714</v>
      </c>
    </row>
    <row r="6" spans="1:7" x14ac:dyDescent="0.25">
      <c r="A6" t="s">
        <v>7</v>
      </c>
      <c r="C6" s="12" t="s">
        <v>25</v>
      </c>
      <c r="D6" s="4" t="s">
        <v>21</v>
      </c>
      <c r="F6" t="s">
        <v>20</v>
      </c>
      <c r="G6" t="s">
        <v>42</v>
      </c>
    </row>
    <row r="7" spans="1:7" x14ac:dyDescent="0.25">
      <c r="A7" s="79" t="s">
        <v>9</v>
      </c>
      <c r="B7" s="49" t="s">
        <v>0</v>
      </c>
      <c r="C7" s="13" t="s">
        <v>1</v>
      </c>
      <c r="D7" s="5"/>
      <c r="E7" s="1">
        <f>IF(E8&gt;=100,1,IF(E8&lt;=40,0,(E8-40)/60))*F7</f>
        <v>16.111499999999999</v>
      </c>
      <c r="F7" s="2">
        <v>23</v>
      </c>
      <c r="G7" s="7">
        <f>E7/F7</f>
        <v>0.70050000000000001</v>
      </c>
    </row>
    <row r="8" spans="1:7" x14ac:dyDescent="0.25">
      <c r="A8" s="79"/>
      <c r="B8" s="50"/>
      <c r="C8" s="12" t="s">
        <v>4</v>
      </c>
      <c r="D8" s="4">
        <f>$D$2-2</f>
        <v>2020</v>
      </c>
      <c r="E8" s="22">
        <v>82.03</v>
      </c>
      <c r="G8" s="7"/>
    </row>
    <row r="9" spans="1:7" x14ac:dyDescent="0.25">
      <c r="A9" s="81" t="s">
        <v>10</v>
      </c>
      <c r="B9" s="47" t="s">
        <v>3</v>
      </c>
      <c r="C9" s="13" t="s">
        <v>2</v>
      </c>
      <c r="D9" s="5"/>
      <c r="E9" s="1">
        <f>IFERROR(IF(E10/E11*100&gt;=100,1,IF(E10/E11*100&lt;=80,0,((E10/E11*100)-80)/20))*F9," ")</f>
        <v>3</v>
      </c>
      <c r="F9" s="46">
        <v>3</v>
      </c>
      <c r="G9" s="7">
        <f t="shared" ref="G9:G38" si="0">E9/F9</f>
        <v>1</v>
      </c>
    </row>
    <row r="10" spans="1:7" x14ac:dyDescent="0.25">
      <c r="A10" s="81"/>
      <c r="B10" s="48"/>
      <c r="C10" s="12" t="s">
        <v>23</v>
      </c>
      <c r="D10" s="4" t="str">
        <f>$D$2-2&amp;" "&amp;$D$2-3&amp;" "&amp;$D$2-4</f>
        <v>2020 2019 2018</v>
      </c>
      <c r="E10" s="22">
        <v>683</v>
      </c>
      <c r="G10" s="7"/>
    </row>
    <row r="11" spans="1:7" x14ac:dyDescent="0.25">
      <c r="A11" s="81"/>
      <c r="B11" s="48"/>
      <c r="C11" s="12" t="s">
        <v>22</v>
      </c>
      <c r="D11" s="4" t="str">
        <f>$D$2-2&amp;" "&amp;$D$2-3&amp;" "&amp;$D$2-4</f>
        <v>2020 2019 2018</v>
      </c>
      <c r="E11" s="22">
        <v>683</v>
      </c>
      <c r="G11" s="7"/>
    </row>
    <row r="12" spans="1:7" x14ac:dyDescent="0.25">
      <c r="A12" s="79" t="s">
        <v>8</v>
      </c>
      <c r="B12" s="49" t="s">
        <v>6</v>
      </c>
      <c r="C12" s="13" t="s">
        <v>5</v>
      </c>
      <c r="D12" s="5"/>
      <c r="E12" s="1">
        <f>IF(E14/E13&gt;=0.5,1,IF(E14/E13&lt;=0,0,(E14/E13/0.5)))*F12</f>
        <v>0.33846153846153848</v>
      </c>
      <c r="F12" s="46">
        <v>4</v>
      </c>
      <c r="G12" s="7">
        <f t="shared" si="0"/>
        <v>8.461538461538462E-2</v>
      </c>
    </row>
    <row r="13" spans="1:7" x14ac:dyDescent="0.25">
      <c r="A13" s="79"/>
      <c r="B13" s="50"/>
      <c r="C13" s="12" t="s">
        <v>11</v>
      </c>
      <c r="D13" s="4">
        <f>$D$2-2</f>
        <v>2020</v>
      </c>
      <c r="E13" s="22">
        <v>260</v>
      </c>
      <c r="G13" s="7"/>
    </row>
    <row r="14" spans="1:7" x14ac:dyDescent="0.25">
      <c r="A14" s="79"/>
      <c r="B14" s="50"/>
      <c r="C14" s="12" t="s">
        <v>12</v>
      </c>
      <c r="D14" s="4">
        <f>$D$2-2</f>
        <v>2020</v>
      </c>
      <c r="E14" s="22">
        <v>11</v>
      </c>
      <c r="G14" s="7"/>
    </row>
    <row r="15" spans="1:7" x14ac:dyDescent="0.25">
      <c r="A15" s="81" t="s">
        <v>17</v>
      </c>
      <c r="B15" s="47" t="s">
        <v>13</v>
      </c>
      <c r="C15" s="13" t="s">
        <v>14</v>
      </c>
      <c r="D15" s="5"/>
      <c r="E15" s="1">
        <f>IF(E16/E17&gt;=1,1,IF(E16/E17&lt;=0,0,(E16/E17)))*F15</f>
        <v>0</v>
      </c>
      <c r="F15" s="46">
        <v>2</v>
      </c>
      <c r="G15" s="7">
        <f t="shared" si="0"/>
        <v>0</v>
      </c>
    </row>
    <row r="16" spans="1:7" x14ac:dyDescent="0.25">
      <c r="A16" s="81"/>
      <c r="B16" s="48"/>
      <c r="C16" s="12" t="s">
        <v>15</v>
      </c>
      <c r="D16" s="4">
        <f>$D$2-2</f>
        <v>2020</v>
      </c>
      <c r="E16" s="22">
        <v>0</v>
      </c>
      <c r="G16" s="7"/>
    </row>
    <row r="17" spans="1:7" x14ac:dyDescent="0.25">
      <c r="A17" s="81"/>
      <c r="B17" s="48"/>
      <c r="C17" s="12" t="s">
        <v>16</v>
      </c>
      <c r="D17" s="4">
        <f>$D$2-2</f>
        <v>2020</v>
      </c>
      <c r="E17" s="22">
        <v>1</v>
      </c>
      <c r="G17" s="7"/>
    </row>
    <row r="18" spans="1:7" x14ac:dyDescent="0.25">
      <c r="A18" s="79" t="s">
        <v>217</v>
      </c>
      <c r="B18" s="49" t="s">
        <v>19</v>
      </c>
      <c r="C18" s="13" t="s">
        <v>18</v>
      </c>
      <c r="D18" s="5"/>
      <c r="E18" s="1">
        <f>IF(IF(E19+E22*0.25+E25*0.1&lt;=0,0,(((E20+0.25*E23+0.1*E26)+3*(E21+0.25*E24+0.1*E27))/(E19+E22*0.25+E25*0.1)))&gt;=0.25,1,IF(IF(E19+E22*0.25+E25*0.1&lt;=0,1,(((E20+0.25*E23+0.1*E26)+3*(E21+0.25*E24+0.1*E27))/(E19+E22*0.25+E25*0.1)))&lt;=0,0,IF(E19+E22*0.25+E25*0.1&lt;=0,1,(((E20+0.25*E23+0.1*E26)+3*(E21+0.25*E24+0.1*E27))/(E19+E22*0.25+E25*0.1))/0.25)))*F18</f>
        <v>9</v>
      </c>
      <c r="F18" s="11">
        <f>IF(OR(D3=Главная!AA14,D3=Главная!AA15,D3=Главная!AA17,D3=Главная!AA18,D3=Главная!AA21),6,9)</f>
        <v>9</v>
      </c>
      <c r="G18" s="7">
        <f t="shared" si="0"/>
        <v>1</v>
      </c>
    </row>
    <row r="19" spans="1:7" x14ac:dyDescent="0.25">
      <c r="A19" s="79"/>
      <c r="B19" s="50"/>
      <c r="C19" s="12" t="s">
        <v>26</v>
      </c>
      <c r="D19" s="4">
        <f t="shared" ref="D19:D41" si="1">$D$2-2</f>
        <v>2020</v>
      </c>
      <c r="E19" s="22">
        <v>835</v>
      </c>
      <c r="G19" s="7"/>
    </row>
    <row r="20" spans="1:7" x14ac:dyDescent="0.25">
      <c r="A20" s="79"/>
      <c r="B20" s="50"/>
      <c r="C20" s="12" t="s">
        <v>27</v>
      </c>
      <c r="D20" s="4">
        <f t="shared" si="1"/>
        <v>2020</v>
      </c>
      <c r="E20" s="22">
        <v>163</v>
      </c>
      <c r="G20" s="7"/>
    </row>
    <row r="21" spans="1:7" x14ac:dyDescent="0.25">
      <c r="A21" s="79"/>
      <c r="B21" s="50"/>
      <c r="C21" s="12" t="s">
        <v>28</v>
      </c>
      <c r="D21" s="4">
        <f t="shared" si="1"/>
        <v>2020</v>
      </c>
      <c r="E21" s="22">
        <v>42</v>
      </c>
      <c r="G21" s="7"/>
    </row>
    <row r="22" spans="1:7" x14ac:dyDescent="0.25">
      <c r="A22" s="79"/>
      <c r="B22" s="50"/>
      <c r="C22" s="12" t="s">
        <v>29</v>
      </c>
      <c r="D22" s="4">
        <f t="shared" si="1"/>
        <v>2020</v>
      </c>
      <c r="E22" s="22">
        <v>217</v>
      </c>
      <c r="G22" s="7"/>
    </row>
    <row r="23" spans="1:7" x14ac:dyDescent="0.25">
      <c r="A23" s="79"/>
      <c r="B23" s="50"/>
      <c r="C23" s="12" t="s">
        <v>30</v>
      </c>
      <c r="D23" s="4">
        <f t="shared" si="1"/>
        <v>2020</v>
      </c>
      <c r="E23" s="22">
        <v>0</v>
      </c>
      <c r="G23" s="7"/>
    </row>
    <row r="24" spans="1:7" x14ac:dyDescent="0.25">
      <c r="A24" s="79"/>
      <c r="B24" s="50"/>
      <c r="C24" s="12" t="s">
        <v>31</v>
      </c>
      <c r="D24" s="4">
        <f t="shared" si="1"/>
        <v>2020</v>
      </c>
      <c r="E24" s="22">
        <v>0</v>
      </c>
      <c r="G24" s="7"/>
    </row>
    <row r="25" spans="1:7" x14ac:dyDescent="0.25">
      <c r="A25" s="79"/>
      <c r="B25" s="50"/>
      <c r="C25" s="12" t="s">
        <v>32</v>
      </c>
      <c r="D25" s="4">
        <f t="shared" si="1"/>
        <v>2020</v>
      </c>
      <c r="E25" s="22">
        <v>366</v>
      </c>
      <c r="G25" s="7"/>
    </row>
    <row r="26" spans="1:7" x14ac:dyDescent="0.25">
      <c r="A26" s="79"/>
      <c r="B26" s="50"/>
      <c r="C26" s="12" t="s">
        <v>33</v>
      </c>
      <c r="D26" s="4">
        <f t="shared" si="1"/>
        <v>2020</v>
      </c>
      <c r="E26" s="22">
        <v>49</v>
      </c>
      <c r="G26" s="7"/>
    </row>
    <row r="27" spans="1:7" x14ac:dyDescent="0.25">
      <c r="A27" s="79"/>
      <c r="B27" s="50"/>
      <c r="C27" s="12" t="s">
        <v>34</v>
      </c>
      <c r="D27" s="4">
        <f t="shared" si="1"/>
        <v>2020</v>
      </c>
      <c r="E27" s="22">
        <v>11</v>
      </c>
      <c r="G27" s="7"/>
    </row>
    <row r="28" spans="1:7" x14ac:dyDescent="0.25">
      <c r="A28" s="77" t="s">
        <v>143</v>
      </c>
      <c r="B28" s="47" t="s">
        <v>85</v>
      </c>
      <c r="C28" s="13" t="s">
        <v>84</v>
      </c>
      <c r="E28" s="11" t="str">
        <f>IFERROR(IF(IF(AND(E35+0.25*E36+0.1*E37=0,0.25*(E29+0.25*E30+0.1*E31)+(E32+0.25*E33+0.1*E34)&gt;0),1,(0.25*(E29+0.25*E30+0.1*E31)+(E32+0.25*E33+0.1*E34))/(E35+0.25*E36+0.1*E37))&gt;=0.2,1,IF(IF(E35+0.25*E36+0.1*E37=0,1,(0.25*(E29+0.25*E30+0.1*E31)+(E32+0.25*E33+0.1*E34))/(E35+0.25*E36+0.1*E37))&lt;=0,0,IF(E35+0.25*E36+0.1*E37=0,1,(0.25*(E29+0.25*E30+0.1*E31)+(E32+0.25*E33+0.1*E34))/(E35+0.25*E36+0.1*E37)/0.2)))*F28," ")</f>
        <v xml:space="preserve"> </v>
      </c>
      <c r="F28" s="1">
        <f>IF(OR(D3=Главная!AA14,D3=Главная!AA15,D3=Главная!AA17,D3=Главная!AA18,D3=Главная!AA21),6,0)</f>
        <v>0</v>
      </c>
      <c r="G28" s="7" t="e">
        <f t="shared" si="0"/>
        <v>#VALUE!</v>
      </c>
    </row>
    <row r="29" spans="1:7" x14ac:dyDescent="0.25">
      <c r="A29" s="77"/>
      <c r="B29" s="48"/>
      <c r="C29" s="12" t="s">
        <v>86</v>
      </c>
      <c r="D29" s="14">
        <f>$D$2-3</f>
        <v>2019</v>
      </c>
      <c r="E29" s="22"/>
      <c r="G29" s="7"/>
    </row>
    <row r="30" spans="1:7" x14ac:dyDescent="0.25">
      <c r="A30" s="77"/>
      <c r="B30" s="48"/>
      <c r="C30" s="12" t="s">
        <v>87</v>
      </c>
      <c r="D30" s="14">
        <f t="shared" ref="D30:D34" si="2">$D$2-3</f>
        <v>2019</v>
      </c>
      <c r="E30" s="22"/>
      <c r="G30" s="7"/>
    </row>
    <row r="31" spans="1:7" x14ac:dyDescent="0.25">
      <c r="A31" s="77"/>
      <c r="B31" s="48"/>
      <c r="C31" s="12" t="s">
        <v>88</v>
      </c>
      <c r="D31" s="14">
        <f t="shared" si="2"/>
        <v>2019</v>
      </c>
      <c r="E31" s="22"/>
      <c r="G31" s="7"/>
    </row>
    <row r="32" spans="1:7" ht="39.75" customHeight="1" x14ac:dyDescent="0.25">
      <c r="A32" s="77"/>
      <c r="B32" s="48"/>
      <c r="C32" s="12" t="s">
        <v>89</v>
      </c>
      <c r="D32" s="14">
        <f t="shared" si="2"/>
        <v>2019</v>
      </c>
      <c r="E32" s="22"/>
      <c r="G32" s="7"/>
    </row>
    <row r="33" spans="1:7" x14ac:dyDescent="0.25">
      <c r="A33" s="77" t="s">
        <v>142</v>
      </c>
      <c r="B33" s="48"/>
      <c r="C33" s="12" t="s">
        <v>90</v>
      </c>
      <c r="D33" s="14">
        <f t="shared" si="2"/>
        <v>2019</v>
      </c>
      <c r="E33" s="22"/>
      <c r="G33" s="7"/>
    </row>
    <row r="34" spans="1:7" x14ac:dyDescent="0.25">
      <c r="A34" s="77"/>
      <c r="B34" s="48"/>
      <c r="C34" s="12" t="s">
        <v>91</v>
      </c>
      <c r="D34" s="14">
        <f t="shared" si="2"/>
        <v>2019</v>
      </c>
      <c r="E34" s="22"/>
      <c r="G34" s="7"/>
    </row>
    <row r="35" spans="1:7" x14ac:dyDescent="0.25">
      <c r="A35" s="77"/>
      <c r="B35" s="48"/>
      <c r="C35" s="12" t="s">
        <v>92</v>
      </c>
      <c r="D35" s="4">
        <f t="shared" ref="D35:D37" si="3">$D$2-2</f>
        <v>2020</v>
      </c>
      <c r="E35" s="22"/>
      <c r="G35" s="7"/>
    </row>
    <row r="36" spans="1:7" x14ac:dyDescent="0.25">
      <c r="A36" s="77"/>
      <c r="B36" s="48"/>
      <c r="C36" s="12" t="s">
        <v>93</v>
      </c>
      <c r="D36" s="4">
        <f t="shared" si="3"/>
        <v>2020</v>
      </c>
      <c r="E36" s="22"/>
      <c r="G36" s="7"/>
    </row>
    <row r="37" spans="1:7" x14ac:dyDescent="0.25">
      <c r="A37" s="77"/>
      <c r="B37" s="48"/>
      <c r="C37" s="12" t="s">
        <v>94</v>
      </c>
      <c r="D37" s="4">
        <f t="shared" si="3"/>
        <v>2020</v>
      </c>
      <c r="E37" s="22"/>
      <c r="G37" s="7"/>
    </row>
    <row r="38" spans="1:7" x14ac:dyDescent="0.25">
      <c r="A38" s="78" t="s">
        <v>41</v>
      </c>
      <c r="B38" s="49" t="s">
        <v>36</v>
      </c>
      <c r="C38" s="13" t="s">
        <v>37</v>
      </c>
      <c r="D38" s="5"/>
      <c r="E38" s="1">
        <f>IF(((E39+E40*0.25+E41*0.1)/(E19+E22*0.25+E25*0.1))&gt;=0.5,1,IF((E39+E40*0.25+E41*0.1)/(E19+E22*0.25+E25*0.1)&lt;=0,0,((E39+E40*0.25+E41*0.1)/(E19+E22*0.25+E25*0.1)/0.5)))*F38</f>
        <v>0.78544040611330113</v>
      </c>
      <c r="F38" s="11">
        <f>IF(OR(D3=Главная!AA14,D3=Главная!AA15,D3=Главная!AA17,D3=Главная!AA18,D3=Главная!AA21),6,9)</f>
        <v>9</v>
      </c>
      <c r="G38" s="7">
        <f t="shared" si="0"/>
        <v>8.7271156234811242E-2</v>
      </c>
    </row>
    <row r="39" spans="1:7" x14ac:dyDescent="0.25">
      <c r="A39" s="78"/>
      <c r="B39" s="50"/>
      <c r="C39" s="12" t="s">
        <v>38</v>
      </c>
      <c r="D39" s="4">
        <f t="shared" si="1"/>
        <v>2020</v>
      </c>
      <c r="E39" s="22">
        <v>39</v>
      </c>
      <c r="G39" s="7"/>
    </row>
    <row r="40" spans="1:7" x14ac:dyDescent="0.25">
      <c r="A40" s="78"/>
      <c r="B40" s="50"/>
      <c r="C40" s="40" t="s">
        <v>139</v>
      </c>
      <c r="D40" s="4">
        <f t="shared" si="1"/>
        <v>2020</v>
      </c>
      <c r="E40" s="22">
        <v>4</v>
      </c>
      <c r="G40" s="7"/>
    </row>
    <row r="41" spans="1:7" x14ac:dyDescent="0.25">
      <c r="A41" s="78"/>
      <c r="B41" s="50"/>
      <c r="C41" s="12" t="s">
        <v>40</v>
      </c>
      <c r="D41" s="4">
        <f t="shared" si="1"/>
        <v>2020</v>
      </c>
      <c r="E41" s="22">
        <v>4</v>
      </c>
      <c r="G41" s="7"/>
    </row>
    <row r="42" spans="1:7" ht="15" customHeight="1" x14ac:dyDescent="0.25">
      <c r="A42" s="77" t="s">
        <v>145</v>
      </c>
      <c r="B42" s="76" t="s">
        <v>44</v>
      </c>
      <c r="C42" s="13" t="s">
        <v>43</v>
      </c>
      <c r="D42" s="5"/>
      <c r="E42" s="1" t="str">
        <f>IFERROR(IF(E43&lt;5,"Если значение показателя Численность выпускников менее 5, фактическое значение показателя не рассчитывается, а его нормированная оценка определяется в соответствии с пунктом 7 Методики",IF(E44/E43*100&lt;=30,0,IF(E44/E43*100&gt;=85,1,(E44/E43*100-30)/55)))*F42,"")</f>
        <v/>
      </c>
      <c r="F42" s="2">
        <v>25</v>
      </c>
      <c r="G42" s="7" t="e">
        <f>E42/F42</f>
        <v>#VALUE!</v>
      </c>
    </row>
    <row r="43" spans="1:7" x14ac:dyDescent="0.25">
      <c r="A43" s="77"/>
      <c r="B43" s="76" t="s">
        <v>218</v>
      </c>
      <c r="C43" s="12" t="s">
        <v>46</v>
      </c>
      <c r="D43" s="4" t="str">
        <f>$D$2-4&amp;" "&amp;$D$2-5&amp;" "&amp;$D$2-6</f>
        <v>2018 2017 2016</v>
      </c>
      <c r="E43" s="22"/>
    </row>
    <row r="44" spans="1:7" x14ac:dyDescent="0.25">
      <c r="A44" s="77"/>
      <c r="B44" s="76"/>
      <c r="C44" s="12" t="s">
        <v>45</v>
      </c>
      <c r="D44" s="4" t="str">
        <f>$D$2-3&amp;" "&amp;$D$2-4&amp;" "&amp;$D$2-5</f>
        <v>2019 2018 2017</v>
      </c>
      <c r="E44" s="22"/>
    </row>
    <row r="45" spans="1:7" x14ac:dyDescent="0.25">
      <c r="A45" s="79" t="s">
        <v>219</v>
      </c>
      <c r="B45" s="49" t="s">
        <v>48</v>
      </c>
      <c r="C45" s="13" t="s">
        <v>47</v>
      </c>
      <c r="D45" s="5"/>
      <c r="E45" s="1">
        <f>IFERROR(IF(E47/E46*100&lt;=30,0,IF(E47/E46*100&gt;=60,1,(E47/E46*100-30)/30))*F45," ")</f>
        <v>5</v>
      </c>
      <c r="F45" s="46">
        <v>5</v>
      </c>
      <c r="G45" s="7">
        <f t="shared" ref="G45" si="4">E45/F45</f>
        <v>1</v>
      </c>
    </row>
    <row r="46" spans="1:7" x14ac:dyDescent="0.25">
      <c r="A46" s="79"/>
      <c r="B46" s="50"/>
      <c r="C46" s="12" t="s">
        <v>49</v>
      </c>
      <c r="D46" s="8">
        <f>$D$2-5</f>
        <v>2017</v>
      </c>
      <c r="E46" s="22">
        <v>199</v>
      </c>
    </row>
    <row r="47" spans="1:7" x14ac:dyDescent="0.25">
      <c r="A47" s="80"/>
      <c r="B47" s="50"/>
      <c r="C47" s="12" t="s">
        <v>50</v>
      </c>
      <c r="D47" s="4">
        <f t="shared" ref="D47" si="5">$D$2-2</f>
        <v>2020</v>
      </c>
      <c r="E47" s="29">
        <v>181</v>
      </c>
    </row>
    <row r="48" spans="1:7" s="56" customFormat="1" ht="15" customHeight="1" x14ac:dyDescent="0.25">
      <c r="A48" s="71" t="s">
        <v>224</v>
      </c>
      <c r="B48" s="72"/>
      <c r="C48" s="72"/>
      <c r="D48" s="72"/>
      <c r="E48" s="72"/>
      <c r="F48" s="72"/>
      <c r="G48" s="73"/>
    </row>
    <row r="49" spans="1:8" ht="15" customHeight="1" x14ac:dyDescent="0.25">
      <c r="A49" s="74" t="s">
        <v>59</v>
      </c>
      <c r="B49" s="59" t="s">
        <v>52</v>
      </c>
      <c r="C49" s="30" t="s">
        <v>53</v>
      </c>
      <c r="D49" s="31"/>
      <c r="E49" s="32">
        <f>IFERROR(IF((E56/(E50+E53)+E57/(E51+E54)+E58/(E52+E55))/3*100&lt;=5,0,IF((E56/(E50+E53)+E57/(E51+E54)+E58/(E52+E55))/3*100&gt;=100,1,((E56/(E50+E53)+E57/(E51+E54)+E58/(E52+E55))/3*100-5)/95))*F49,"")</f>
        <v>0</v>
      </c>
      <c r="F49" s="32">
        <f>IF(OR(Главная!AA13=D3,Главная!AA14=D3,Главная!AA15=D3,Главная!AA16=D3,Главная!AA23=D3),5,0)</f>
        <v>0</v>
      </c>
      <c r="G49" s="33" t="e">
        <f t="shared" ref="G49" si="6">E49/F49</f>
        <v>#DIV/0!</v>
      </c>
      <c r="H49" s="34"/>
    </row>
    <row r="50" spans="1:8" x14ac:dyDescent="0.25">
      <c r="A50" s="75"/>
      <c r="B50" s="55"/>
      <c r="C50" s="12" t="s">
        <v>54</v>
      </c>
      <c r="D50" s="8">
        <f>$D$2-5</f>
        <v>2017</v>
      </c>
      <c r="E50" s="22">
        <v>1051.2</v>
      </c>
    </row>
    <row r="51" spans="1:8" x14ac:dyDescent="0.25">
      <c r="A51" s="75"/>
      <c r="B51" s="55"/>
      <c r="C51" s="12" t="s">
        <v>54</v>
      </c>
      <c r="D51" s="8">
        <f>$D$2-4</f>
        <v>2018</v>
      </c>
      <c r="E51" s="22">
        <v>1047.5</v>
      </c>
    </row>
    <row r="52" spans="1:8" x14ac:dyDescent="0.25">
      <c r="A52" s="75"/>
      <c r="B52" s="55"/>
      <c r="C52" s="12" t="s">
        <v>54</v>
      </c>
      <c r="D52" s="8">
        <f>$D$2-3</f>
        <v>2019</v>
      </c>
      <c r="E52" s="22">
        <v>1059.5</v>
      </c>
    </row>
    <row r="53" spans="1:8" x14ac:dyDescent="0.25">
      <c r="A53" s="75"/>
      <c r="B53" s="55"/>
      <c r="C53" s="12" t="s">
        <v>55</v>
      </c>
      <c r="D53" s="8">
        <f>$D$2-5</f>
        <v>2017</v>
      </c>
      <c r="E53" s="22">
        <v>56.2</v>
      </c>
    </row>
    <row r="54" spans="1:8" x14ac:dyDescent="0.25">
      <c r="A54" s="75"/>
      <c r="B54" s="55"/>
      <c r="C54" s="12" t="s">
        <v>55</v>
      </c>
      <c r="D54" s="8">
        <f>$D$2-4</f>
        <v>2018</v>
      </c>
      <c r="E54" s="22">
        <v>54.6</v>
      </c>
    </row>
    <row r="55" spans="1:8" x14ac:dyDescent="0.25">
      <c r="A55" s="75"/>
      <c r="B55" s="55"/>
      <c r="C55" s="12" t="s">
        <v>55</v>
      </c>
      <c r="D55" s="8">
        <f>$D$2-3</f>
        <v>2019</v>
      </c>
      <c r="E55" s="22">
        <v>56.5</v>
      </c>
    </row>
    <row r="56" spans="1:8" x14ac:dyDescent="0.25">
      <c r="A56" s="75"/>
      <c r="B56" s="55"/>
      <c r="C56" s="12" t="s">
        <v>56</v>
      </c>
      <c r="D56" s="8">
        <f>$D$2-5</f>
        <v>2017</v>
      </c>
      <c r="E56" s="22">
        <v>380</v>
      </c>
    </row>
    <row r="57" spans="1:8" x14ac:dyDescent="0.25">
      <c r="A57" s="75"/>
      <c r="B57" s="55"/>
      <c r="C57" s="12" t="s">
        <v>56</v>
      </c>
      <c r="D57" s="8">
        <f>$D$2-4</f>
        <v>2018</v>
      </c>
      <c r="E57" s="22">
        <v>830</v>
      </c>
      <c r="F57" s="9"/>
    </row>
    <row r="58" spans="1:8" x14ac:dyDescent="0.25">
      <c r="A58" s="75"/>
      <c r="B58" s="55"/>
      <c r="C58" s="12" t="s">
        <v>56</v>
      </c>
      <c r="D58" s="8">
        <f>$D$2-3</f>
        <v>2019</v>
      </c>
      <c r="E58" s="22">
        <v>1149</v>
      </c>
      <c r="F58" s="9"/>
    </row>
    <row r="59" spans="1:8" x14ac:dyDescent="0.25">
      <c r="A59" s="82" t="s">
        <v>79</v>
      </c>
      <c r="B59" s="51" t="s">
        <v>58</v>
      </c>
      <c r="C59" s="13" t="s">
        <v>57</v>
      </c>
      <c r="D59" s="5"/>
      <c r="E59" s="1">
        <f>IFERROR(IF((E60/(E50+E53)+E61/(E51+E54)+E62/(E52+E55))/3&lt;=100,0,IF((E60/(E50+E53)+E61/(E51+E54)+E62/(E52+E55))/3&gt;=1000,1,((E60/(E50+E53)+E61/(E51+E54)+E62/(E52+E55))/3-100)/900))*F59," ")</f>
        <v>0</v>
      </c>
      <c r="F59" s="11">
        <f>IF(OR(Главная!AA17=D3,Главная!AA20=D3),7,IF(OR(Главная!AA13=D3,Главная!AA14=D3,Главная!AA15=D3,Главная!AA16=D3,Главная!AA23=D3),5,0))</f>
        <v>0</v>
      </c>
      <c r="G59" s="7" t="e">
        <f t="shared" ref="G59" si="7">E59/F59</f>
        <v>#DIV/0!</v>
      </c>
    </row>
    <row r="60" spans="1:8" x14ac:dyDescent="0.25">
      <c r="A60" s="82"/>
      <c r="B60" s="52"/>
      <c r="C60" s="12" t="s">
        <v>82</v>
      </c>
      <c r="D60" s="8">
        <f>$D$2-5</f>
        <v>2017</v>
      </c>
      <c r="E60" s="22">
        <v>265431.7</v>
      </c>
      <c r="F60" s="9"/>
    </row>
    <row r="61" spans="1:8" x14ac:dyDescent="0.25">
      <c r="A61" s="82"/>
      <c r="B61" s="52"/>
      <c r="C61" s="12" t="s">
        <v>82</v>
      </c>
      <c r="D61" s="8">
        <f>$D$2-4</f>
        <v>2018</v>
      </c>
      <c r="E61" s="22">
        <v>382808.6</v>
      </c>
      <c r="F61" s="9"/>
    </row>
    <row r="62" spans="1:8" x14ac:dyDescent="0.25">
      <c r="A62" s="82"/>
      <c r="B62" s="52"/>
      <c r="C62" s="12" t="s">
        <v>82</v>
      </c>
      <c r="D62" s="8">
        <f>$D$2-3</f>
        <v>2019</v>
      </c>
      <c r="E62" s="22">
        <v>619984.4</v>
      </c>
      <c r="F62" s="9"/>
    </row>
    <row r="63" spans="1:8" x14ac:dyDescent="0.25">
      <c r="A63" s="83" t="s">
        <v>78</v>
      </c>
      <c r="B63" s="2" t="s">
        <v>61</v>
      </c>
      <c r="C63" s="13" t="s">
        <v>60</v>
      </c>
      <c r="D63" s="5"/>
      <c r="E63" s="1">
        <f>IF((E67+0.25*E68+0.1*E69)/(E64+E65*0.25+E66*0.1)*100&gt;=15,1,IF((E67+0.25*E68+0.1*E69)/(E64+E65*0.25+E66*0.1)*100&lt;=1,0,((E67+0.25*E68+0.1*E69)/(E64+E65*0.25+E66*0.1)*100-1)/14))*F63</f>
        <v>4.088146661436717</v>
      </c>
      <c r="F63" s="11">
        <f>IF(OR(Главная!AA17=D3,Главная!AA20=D3,Главная!AA18=D3),6,IF(OR(Главная!AA13=D3,Главная!AA14=D3,Главная!AA15=D3,Главная!AA16=D3,Главная!AA23=D3),5,10))</f>
        <v>10</v>
      </c>
      <c r="G63" s="7">
        <f t="shared" ref="G63:G93" si="8">E63/F63</f>
        <v>0.40881466614367168</v>
      </c>
    </row>
    <row r="64" spans="1:8" x14ac:dyDescent="0.25">
      <c r="A64" s="83"/>
      <c r="B64" s="55"/>
      <c r="C64" s="12" t="s">
        <v>62</v>
      </c>
      <c r="D64" s="4">
        <f t="shared" ref="D64:D69" si="9">$D$2-2</f>
        <v>2020</v>
      </c>
      <c r="E64" s="22">
        <v>15227</v>
      </c>
      <c r="F64" s="9"/>
      <c r="G64" s="7"/>
    </row>
    <row r="65" spans="1:7" x14ac:dyDescent="0.25">
      <c r="A65" s="83"/>
      <c r="B65" s="55"/>
      <c r="C65" s="12" t="s">
        <v>63</v>
      </c>
      <c r="D65" s="4">
        <f t="shared" si="9"/>
        <v>2020</v>
      </c>
      <c r="E65" s="22">
        <v>879</v>
      </c>
      <c r="F65" s="9"/>
      <c r="G65" s="7"/>
    </row>
    <row r="66" spans="1:7" x14ac:dyDescent="0.25">
      <c r="A66" s="83"/>
      <c r="B66" s="55"/>
      <c r="C66" s="12" t="s">
        <v>64</v>
      </c>
      <c r="D66" s="4">
        <f t="shared" si="9"/>
        <v>2020</v>
      </c>
      <c r="E66" s="22">
        <v>4507</v>
      </c>
      <c r="F66" s="9"/>
      <c r="G66" s="7"/>
    </row>
    <row r="67" spans="1:7" x14ac:dyDescent="0.25">
      <c r="A67" s="83"/>
      <c r="B67" s="55"/>
      <c r="C67" s="12" t="s">
        <v>65</v>
      </c>
      <c r="D67" s="4">
        <f t="shared" si="9"/>
        <v>2020</v>
      </c>
      <c r="E67" s="22">
        <v>1050</v>
      </c>
      <c r="F67" s="9"/>
      <c r="G67" s="7"/>
    </row>
    <row r="68" spans="1:7" x14ac:dyDescent="0.25">
      <c r="A68" s="83"/>
      <c r="B68" s="55"/>
      <c r="C68" s="12" t="s">
        <v>66</v>
      </c>
      <c r="D68" s="4">
        <f t="shared" si="9"/>
        <v>2020</v>
      </c>
      <c r="E68" s="22">
        <v>19</v>
      </c>
      <c r="F68" s="9"/>
      <c r="G68" s="7"/>
    </row>
    <row r="69" spans="1:7" x14ac:dyDescent="0.25">
      <c r="A69" s="83"/>
      <c r="B69" s="55"/>
      <c r="C69" s="12" t="s">
        <v>67</v>
      </c>
      <c r="D69" s="4">
        <f t="shared" si="9"/>
        <v>2020</v>
      </c>
      <c r="E69" s="22">
        <v>141</v>
      </c>
      <c r="F69" s="9"/>
      <c r="G69" s="7"/>
    </row>
    <row r="70" spans="1:7" x14ac:dyDescent="0.25">
      <c r="A70" s="84" t="s">
        <v>77</v>
      </c>
      <c r="B70" s="51" t="s">
        <v>69</v>
      </c>
      <c r="C70" s="13" t="s">
        <v>68</v>
      </c>
      <c r="D70" s="5"/>
      <c r="E70" s="1">
        <f>IF((E71/(E74+E75*0.25+E76*0.1)+E72/(E77+E78*0.25+E79*0.1)+E73/(E80+0.25*E81+E82*0.1))/3&lt;=50,0,IF((E71/(E74+E75*0.25+E76*0.1)+E72/(E77+E78*0.25+E79*0.1)+E73/(E80+0.25*E81+E82*0.1))/3&gt;=500,1,((E71/(E74+E75*0.25+E76*0.1)+E72/(E77+E78*0.25+E79*0.1)+E73/(E80+0.25*E81+E82*0.1))/3-50)/450))*F70</f>
        <v>9.6209638756671652</v>
      </c>
      <c r="F70" s="11">
        <f>IF(OR(Главная!AA17=D3,Главная!AA20=D3,Главная!AA18=D3),7,IF(OR(Главная!AA13=D3,Главная!AA14=D3,Главная!AA15=D3,Главная!AA16=D3,Главная!AA23=D3),5,10))</f>
        <v>10</v>
      </c>
      <c r="G70" s="7">
        <f t="shared" si="8"/>
        <v>0.96209638756671656</v>
      </c>
    </row>
    <row r="71" spans="1:7" x14ac:dyDescent="0.25">
      <c r="A71" s="84"/>
      <c r="B71" s="52"/>
      <c r="C71" s="12" t="s">
        <v>83</v>
      </c>
      <c r="D71" s="8">
        <f>$D$2-5</f>
        <v>2017</v>
      </c>
      <c r="E71" s="22">
        <v>5678492.5</v>
      </c>
      <c r="F71" s="9"/>
      <c r="G71" s="7"/>
    </row>
    <row r="72" spans="1:7" x14ac:dyDescent="0.25">
      <c r="A72" s="84"/>
      <c r="B72" s="52"/>
      <c r="C72" s="12" t="s">
        <v>83</v>
      </c>
      <c r="D72" s="8">
        <f>$D$2-4</f>
        <v>2018</v>
      </c>
      <c r="E72" s="22">
        <v>6341442.5</v>
      </c>
      <c r="F72" s="9"/>
      <c r="G72" s="7"/>
    </row>
    <row r="73" spans="1:7" x14ac:dyDescent="0.25">
      <c r="A73" s="84"/>
      <c r="B73" s="52"/>
      <c r="C73" s="12" t="s">
        <v>83</v>
      </c>
      <c r="D73" s="8">
        <f>$D$2-3</f>
        <v>2019</v>
      </c>
      <c r="E73" s="22">
        <v>7459397.7000000002</v>
      </c>
      <c r="F73" s="9"/>
      <c r="G73" s="7"/>
    </row>
    <row r="74" spans="1:7" x14ac:dyDescent="0.25">
      <c r="A74" s="84"/>
      <c r="B74" s="52"/>
      <c r="C74" s="12" t="s">
        <v>62</v>
      </c>
      <c r="D74" s="8">
        <f>$D$2-5</f>
        <v>2017</v>
      </c>
      <c r="E74" s="22">
        <v>11921</v>
      </c>
      <c r="G74" s="7"/>
    </row>
    <row r="75" spans="1:7" x14ac:dyDescent="0.25">
      <c r="A75" s="84"/>
      <c r="B75" s="52"/>
      <c r="C75" s="12" t="s">
        <v>63</v>
      </c>
      <c r="D75" s="8">
        <f>$D$2-5</f>
        <v>2017</v>
      </c>
      <c r="E75" s="22">
        <v>78</v>
      </c>
      <c r="G75" s="7"/>
    </row>
    <row r="76" spans="1:7" x14ac:dyDescent="0.25">
      <c r="A76" s="84"/>
      <c r="B76" s="52"/>
      <c r="C76" s="12" t="s">
        <v>64</v>
      </c>
      <c r="D76" s="8">
        <f>$D$2-5</f>
        <v>2017</v>
      </c>
      <c r="E76" s="22">
        <v>6486</v>
      </c>
      <c r="G76" s="7"/>
    </row>
    <row r="77" spans="1:7" x14ac:dyDescent="0.25">
      <c r="A77" s="84"/>
      <c r="B77" s="52"/>
      <c r="C77" s="12" t="s">
        <v>62</v>
      </c>
      <c r="D77" s="8">
        <f>$D$2-4</f>
        <v>2018</v>
      </c>
      <c r="E77" s="22">
        <v>12686</v>
      </c>
      <c r="G77" s="7"/>
    </row>
    <row r="78" spans="1:7" x14ac:dyDescent="0.25">
      <c r="A78" s="84"/>
      <c r="B78" s="52"/>
      <c r="C78" s="12" t="s">
        <v>63</v>
      </c>
      <c r="D78" s="8">
        <f>$D$2-4</f>
        <v>2018</v>
      </c>
      <c r="E78" s="22">
        <v>249</v>
      </c>
      <c r="G78" s="7"/>
    </row>
    <row r="79" spans="1:7" x14ac:dyDescent="0.25">
      <c r="A79" s="84"/>
      <c r="B79" s="52"/>
      <c r="C79" s="12" t="s">
        <v>64</v>
      </c>
      <c r="D79" s="8">
        <f>$D$2-4</f>
        <v>2018</v>
      </c>
      <c r="E79" s="22">
        <v>6402</v>
      </c>
      <c r="G79" s="7"/>
    </row>
    <row r="80" spans="1:7" x14ac:dyDescent="0.25">
      <c r="A80" s="84"/>
      <c r="B80" s="52"/>
      <c r="C80" s="12" t="s">
        <v>62</v>
      </c>
      <c r="D80" s="8">
        <f>$D$2-3</f>
        <v>2019</v>
      </c>
      <c r="E80" s="22">
        <v>13579</v>
      </c>
      <c r="G80" s="7"/>
    </row>
    <row r="81" spans="1:7" x14ac:dyDescent="0.25">
      <c r="A81" s="84"/>
      <c r="B81" s="52"/>
      <c r="C81" s="12" t="s">
        <v>63</v>
      </c>
      <c r="D81" s="8">
        <f>$D$2-3</f>
        <v>2019</v>
      </c>
      <c r="E81" s="22">
        <v>517</v>
      </c>
      <c r="G81" s="7"/>
    </row>
    <row r="82" spans="1:7" x14ac:dyDescent="0.25">
      <c r="A82" s="84"/>
      <c r="B82" s="52"/>
      <c r="C82" s="12" t="s">
        <v>64</v>
      </c>
      <c r="D82" s="8">
        <f>$D$2-3</f>
        <v>2019</v>
      </c>
      <c r="E82" s="22">
        <v>5241</v>
      </c>
      <c r="G82" s="7"/>
    </row>
    <row r="83" spans="1:7" x14ac:dyDescent="0.25">
      <c r="A83" s="85" t="s">
        <v>76</v>
      </c>
      <c r="B83" s="53" t="s">
        <v>71</v>
      </c>
      <c r="C83" s="13" t="s">
        <v>70</v>
      </c>
      <c r="D83" s="5"/>
      <c r="E83" s="3">
        <f>SUM(E7,E9,E12,E15,E18,E38,E42,E45,E49,E59,E63,E70,E28,E89:E93)*(IF(1+0.5*((E84+E85*0.25+E86*0.1)/(E19+E22*0.25+E25*0.1)-0.2)/0.8&lt;1,1,1+0.5*((E84+E85*0.25+E86*0.1)/(E19+E22*0.25+E25*0.1)-0.2)/0.8))</f>
        <v>72.944512481678714</v>
      </c>
      <c r="F83">
        <v>100</v>
      </c>
      <c r="G83" s="7">
        <f t="shared" si="8"/>
        <v>0.72944512481678714</v>
      </c>
    </row>
    <row r="84" spans="1:7" x14ac:dyDescent="0.25">
      <c r="A84" s="85"/>
      <c r="B84" s="54"/>
      <c r="C84" s="12" t="s">
        <v>72</v>
      </c>
      <c r="D84" s="4">
        <f t="shared" ref="D84:D86" si="10">$D$2-2</f>
        <v>2020</v>
      </c>
      <c r="E84" s="22">
        <v>8</v>
      </c>
      <c r="G84" s="7"/>
    </row>
    <row r="85" spans="1:7" x14ac:dyDescent="0.25">
      <c r="A85" s="85"/>
      <c r="B85" s="54"/>
      <c r="C85" s="12" t="s">
        <v>73</v>
      </c>
      <c r="D85" s="4">
        <f t="shared" si="10"/>
        <v>2020</v>
      </c>
      <c r="E85" s="22">
        <v>1</v>
      </c>
      <c r="G85" s="7"/>
    </row>
    <row r="86" spans="1:7" x14ac:dyDescent="0.25">
      <c r="A86" s="85"/>
      <c r="B86" s="54"/>
      <c r="C86" s="12" t="s">
        <v>74</v>
      </c>
      <c r="D86" s="4">
        <f t="shared" si="10"/>
        <v>2020</v>
      </c>
      <c r="E86" s="22">
        <v>2</v>
      </c>
      <c r="G86" s="7"/>
    </row>
    <row r="87" spans="1:7" x14ac:dyDescent="0.25">
      <c r="G87" s="7"/>
    </row>
    <row r="88" spans="1:7" x14ac:dyDescent="0.25">
      <c r="A88" s="9"/>
      <c r="B88" s="11" t="s">
        <v>96</v>
      </c>
      <c r="C88" s="86" t="s">
        <v>97</v>
      </c>
      <c r="D88" s="86"/>
      <c r="E88" s="86"/>
      <c r="F88" s="11"/>
      <c r="G88" s="7"/>
    </row>
    <row r="89" spans="1:7" x14ac:dyDescent="0.25">
      <c r="A89" s="9"/>
      <c r="B89" s="9"/>
      <c r="C89" s="64" t="s">
        <v>43</v>
      </c>
      <c r="D89" s="27"/>
      <c r="E89" s="24">
        <v>25</v>
      </c>
      <c r="F89" s="23">
        <v>25</v>
      </c>
      <c r="G89" s="7">
        <f t="shared" si="8"/>
        <v>1</v>
      </c>
    </row>
    <row r="90" spans="1:7" x14ac:dyDescent="0.25">
      <c r="A90" s="9"/>
      <c r="B90" s="9"/>
      <c r="C90" s="28"/>
      <c r="D90" s="27"/>
      <c r="E90" s="25"/>
      <c r="F90" s="23"/>
      <c r="G90" s="7" t="e">
        <f t="shared" si="8"/>
        <v>#DIV/0!</v>
      </c>
    </row>
    <row r="91" spans="1:7" x14ac:dyDescent="0.25">
      <c r="A91" s="9"/>
      <c r="B91" s="9"/>
      <c r="C91" s="28"/>
      <c r="D91" s="27"/>
      <c r="E91" s="25"/>
      <c r="F91" s="23"/>
      <c r="G91" s="7" t="e">
        <f t="shared" si="8"/>
        <v>#DIV/0!</v>
      </c>
    </row>
    <row r="92" spans="1:7" x14ac:dyDescent="0.25">
      <c r="A92" s="9"/>
      <c r="B92" s="9"/>
      <c r="C92" s="28"/>
      <c r="D92" s="27"/>
      <c r="E92" s="25"/>
      <c r="F92" s="23"/>
      <c r="G92" s="7" t="e">
        <f t="shared" si="8"/>
        <v>#DIV/0!</v>
      </c>
    </row>
    <row r="93" spans="1:7" x14ac:dyDescent="0.25">
      <c r="A93" s="9"/>
      <c r="B93" s="9"/>
      <c r="C93" s="28"/>
      <c r="D93" s="27"/>
      <c r="E93" s="25"/>
      <c r="F93" s="23"/>
      <c r="G93" s="7" t="e">
        <f t="shared" si="8"/>
        <v>#DIV/0!</v>
      </c>
    </row>
    <row r="94" spans="1:7" x14ac:dyDescent="0.25">
      <c r="A94" s="9"/>
      <c r="B94" s="9"/>
      <c r="C94" s="16"/>
      <c r="D94" s="17"/>
      <c r="E94" s="9"/>
      <c r="F94" s="9"/>
      <c r="G94" s="9"/>
    </row>
    <row r="95" spans="1:7" x14ac:dyDescent="0.25">
      <c r="B95" s="9"/>
      <c r="C95" s="16"/>
      <c r="D95" s="15"/>
      <c r="E95" s="9"/>
      <c r="F95" s="9"/>
      <c r="G95" s="9"/>
    </row>
    <row r="96" spans="1:7" x14ac:dyDescent="0.25">
      <c r="B96" s="9"/>
      <c r="C96" s="16"/>
      <c r="D96" s="15"/>
      <c r="E96" s="9"/>
      <c r="F96" s="9"/>
      <c r="G96" s="9"/>
    </row>
    <row r="97" spans="2:7" x14ac:dyDescent="0.25">
      <c r="B97" s="9"/>
      <c r="C97" s="16"/>
      <c r="D97" s="15"/>
      <c r="E97" s="9"/>
      <c r="F97" s="9"/>
      <c r="G97" s="9"/>
    </row>
  </sheetData>
  <mergeCells count="18">
    <mergeCell ref="C88:E88"/>
    <mergeCell ref="A33:A37"/>
    <mergeCell ref="A38:A41"/>
    <mergeCell ref="A42:A44"/>
    <mergeCell ref="B42:B44"/>
    <mergeCell ref="A45:A47"/>
    <mergeCell ref="A48:G48"/>
    <mergeCell ref="A49:A58"/>
    <mergeCell ref="A59:A62"/>
    <mergeCell ref="A63:A69"/>
    <mergeCell ref="A70:A82"/>
    <mergeCell ref="A83:A86"/>
    <mergeCell ref="A28:A32"/>
    <mergeCell ref="A7:A8"/>
    <mergeCell ref="A9:A11"/>
    <mergeCell ref="A12:A14"/>
    <mergeCell ref="A15:A17"/>
    <mergeCell ref="A18:A27"/>
  </mergeCells>
  <conditionalFormatting sqref="G1:G47 G49:G1048576">
    <cfRule type="iconSet" priority="1">
      <iconSet>
        <cfvo type="percent" val="0"/>
        <cfvo type="percent" val="33"/>
        <cfvo type="percent" val="67"/>
      </iconSet>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Главная!$AA$13:$AA$23</xm:f>
          </x14:formula1>
          <xm:sqref>D3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34</vt:i4>
      </vt:variant>
    </vt:vector>
  </HeadingPairs>
  <TitlesOfParts>
    <vt:vector size="34" baseType="lpstr">
      <vt:lpstr>Главная</vt:lpstr>
      <vt:lpstr>01.03.00</vt:lpstr>
      <vt:lpstr>09.03.00</vt:lpstr>
      <vt:lpstr>10.03.00</vt:lpstr>
      <vt:lpstr>27.03.00</vt:lpstr>
      <vt:lpstr>37.03.01</vt:lpstr>
      <vt:lpstr>38.03.00</vt:lpstr>
      <vt:lpstr>39.03.00</vt:lpstr>
      <vt:lpstr>40.03.00</vt:lpstr>
      <vt:lpstr>41.03.00</vt:lpstr>
      <vt:lpstr>42.03.00</vt:lpstr>
      <vt:lpstr>43.03.00</vt:lpstr>
      <vt:lpstr>45.03.00</vt:lpstr>
      <vt:lpstr>47.03.00</vt:lpstr>
      <vt:lpstr>01.04.00</vt:lpstr>
      <vt:lpstr>09.04.00</vt:lpstr>
      <vt:lpstr>10.04.00</vt:lpstr>
      <vt:lpstr>15.04.00</vt:lpstr>
      <vt:lpstr>38.04.00</vt:lpstr>
      <vt:lpstr>39.04.00</vt:lpstr>
      <vt:lpstr>40.04.00</vt:lpstr>
      <vt:lpstr>41.04.00</vt:lpstr>
      <vt:lpstr>42.04.00</vt:lpstr>
      <vt:lpstr>43.04.00</vt:lpstr>
      <vt:lpstr>44.04.00</vt:lpstr>
      <vt:lpstr>45.04.00</vt:lpstr>
      <vt:lpstr>47.04.00</vt:lpstr>
      <vt:lpstr>09.06.00</vt:lpstr>
      <vt:lpstr>10.06.00</vt:lpstr>
      <vt:lpstr>38.06.00</vt:lpstr>
      <vt:lpstr>39.06.00</vt:lpstr>
      <vt:lpstr>40.06.00</vt:lpstr>
      <vt:lpstr>41.06.00</vt:lpstr>
      <vt:lpstr>47.06.00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2021-10-13T12:55:30Z</dcterms:modified>
</cp:coreProperties>
</file>